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L_CG_DATA\Projects_Folder\CG - Financial Services\Rates_SF7438\"/>
    </mc:Choice>
  </mc:AlternateContent>
  <xr:revisionPtr revIDLastSave="0" documentId="8_{996A1BD3-4E0B-4E6F-ABD6-D0B6A098CF80}" xr6:coauthVersionLast="47" xr6:coauthVersionMax="47" xr10:uidLastSave="{00000000-0000-0000-0000-000000000000}"/>
  <bookViews>
    <workbookView xWindow="28680" yWindow="-120" windowWidth="29040" windowHeight="15840" xr2:uid="{76FD042C-5635-4C09-9EC5-F90CB7658767}"/>
  </bookViews>
  <sheets>
    <sheet name="Rates Calculator" sheetId="1" r:id="rId1"/>
    <sheet name="Working Paper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1" l="1"/>
  <c r="G31" i="1"/>
  <c r="G30" i="1"/>
  <c r="G29" i="1"/>
  <c r="E31" i="1"/>
  <c r="D31" i="1"/>
  <c r="M46" i="2"/>
  <c r="M7" i="2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H69" i="2"/>
  <c r="I69" i="2" s="1"/>
  <c r="H65" i="2"/>
  <c r="I65" i="2" s="1"/>
  <c r="H64" i="2"/>
  <c r="I64" i="2" s="1"/>
  <c r="H62" i="2"/>
  <c r="I62" i="2" s="1"/>
  <c r="H61" i="2"/>
  <c r="I61" i="2" s="1"/>
  <c r="H60" i="2"/>
  <c r="I60" i="2" s="1"/>
  <c r="H57" i="2"/>
  <c r="I57" i="2" s="1"/>
  <c r="H53" i="2"/>
  <c r="I53" i="2" s="1"/>
  <c r="H52" i="2"/>
  <c r="I52" i="2" s="1"/>
  <c r="H50" i="2"/>
  <c r="I50" i="2" s="1"/>
  <c r="H49" i="2"/>
  <c r="I49" i="2" s="1"/>
  <c r="H48" i="2"/>
  <c r="I48" i="2" s="1"/>
  <c r="I45" i="2"/>
  <c r="H45" i="2"/>
  <c r="F72" i="2"/>
  <c r="F69" i="2"/>
  <c r="F65" i="2"/>
  <c r="F64" i="2"/>
  <c r="F61" i="2"/>
  <c r="F62" i="2"/>
  <c r="F60" i="2"/>
  <c r="F57" i="2"/>
  <c r="F53" i="2"/>
  <c r="F52" i="2"/>
  <c r="F50" i="2"/>
  <c r="F49" i="2"/>
  <c r="F48" i="2"/>
  <c r="E69" i="2"/>
  <c r="E65" i="2"/>
  <c r="E64" i="2"/>
  <c r="E62" i="2"/>
  <c r="E61" i="2"/>
  <c r="E60" i="2"/>
  <c r="E57" i="2"/>
  <c r="E53" i="2"/>
  <c r="E52" i="2"/>
  <c r="E50" i="2"/>
  <c r="E49" i="2"/>
  <c r="E48" i="2"/>
  <c r="E45" i="2"/>
  <c r="D69" i="2"/>
  <c r="D65" i="2"/>
  <c r="D64" i="2"/>
  <c r="D62" i="2"/>
  <c r="D61" i="2"/>
  <c r="D60" i="2"/>
  <c r="D57" i="2"/>
  <c r="D53" i="2"/>
  <c r="D52" i="2"/>
  <c r="D50" i="2"/>
  <c r="D49" i="2"/>
  <c r="D48" i="2"/>
  <c r="D45" i="2"/>
  <c r="C62" i="2" l="1"/>
  <c r="C60" i="2"/>
  <c r="C49" i="2"/>
  <c r="N72" i="2"/>
  <c r="N69" i="2"/>
  <c r="P69" i="2" s="1"/>
  <c r="N65" i="2"/>
  <c r="N64" i="2"/>
  <c r="N62" i="2"/>
  <c r="L62" i="2"/>
  <c r="N61" i="2"/>
  <c r="N60" i="2"/>
  <c r="L60" i="2"/>
  <c r="N57" i="2"/>
  <c r="P57" i="2" s="1"/>
  <c r="K56" i="2"/>
  <c r="D54" i="2"/>
  <c r="P53" i="2"/>
  <c r="N53" i="2"/>
  <c r="N52" i="2"/>
  <c r="P52" i="2" s="1"/>
  <c r="N50" i="2"/>
  <c r="P50" i="2" s="1"/>
  <c r="N49" i="2"/>
  <c r="P49" i="2" s="1"/>
  <c r="L49" i="2"/>
  <c r="N48" i="2"/>
  <c r="P48" i="2" s="1"/>
  <c r="N45" i="2"/>
  <c r="P45" i="2" s="1"/>
  <c r="P54" i="2" l="1"/>
  <c r="J60" i="2"/>
  <c r="J62" i="2"/>
  <c r="D66" i="2"/>
  <c r="G60" i="2"/>
  <c r="P60" i="2"/>
  <c r="P61" i="2"/>
  <c r="G62" i="2"/>
  <c r="P62" i="2"/>
  <c r="P64" i="2"/>
  <c r="P65" i="2"/>
  <c r="P66" i="2" l="1"/>
  <c r="J49" i="2"/>
  <c r="G49" i="2"/>
  <c r="C47" i="1" l="1"/>
  <c r="C46" i="1"/>
  <c r="C45" i="1"/>
  <c r="C44" i="1"/>
  <c r="C43" i="1"/>
  <c r="C42" i="1"/>
  <c r="C41" i="1"/>
  <c r="C40" i="1"/>
  <c r="C39" i="1"/>
  <c r="C38" i="1"/>
  <c r="C37" i="1"/>
  <c r="C36" i="1"/>
  <c r="C35" i="1"/>
  <c r="L33" i="2"/>
  <c r="C72" i="2" s="1"/>
  <c r="L30" i="2"/>
  <c r="C69" i="2" s="1"/>
  <c r="L26" i="2"/>
  <c r="C65" i="2" s="1"/>
  <c r="L25" i="2"/>
  <c r="C64" i="2" s="1"/>
  <c r="L23" i="2"/>
  <c r="L22" i="2"/>
  <c r="C61" i="2" s="1"/>
  <c r="L21" i="2"/>
  <c r="L18" i="2"/>
  <c r="C57" i="2" s="1"/>
  <c r="L14" i="2"/>
  <c r="C53" i="2" s="1"/>
  <c r="L13" i="2"/>
  <c r="C52" i="2" s="1"/>
  <c r="L11" i="2"/>
  <c r="C50" i="2" s="1"/>
  <c r="L10" i="2"/>
  <c r="L9" i="2"/>
  <c r="C48" i="2" s="1"/>
  <c r="L6" i="2"/>
  <c r="C45" i="2" s="1"/>
  <c r="C27" i="2"/>
  <c r="C15" i="2"/>
  <c r="N33" i="2"/>
  <c r="F33" i="2"/>
  <c r="D72" i="2"/>
  <c r="N30" i="2"/>
  <c r="P30" i="2" s="1"/>
  <c r="F30" i="2"/>
  <c r="N26" i="2"/>
  <c r="F26" i="2"/>
  <c r="N25" i="2"/>
  <c r="F25" i="2"/>
  <c r="H25" i="2"/>
  <c r="N23" i="2"/>
  <c r="F23" i="2"/>
  <c r="N22" i="2"/>
  <c r="F22" i="2"/>
  <c r="N21" i="2"/>
  <c r="F21" i="2"/>
  <c r="N18" i="2"/>
  <c r="F18" i="2"/>
  <c r="K17" i="2"/>
  <c r="L15" i="2"/>
  <c r="D15" i="2"/>
  <c r="N14" i="2"/>
  <c r="F14" i="2"/>
  <c r="N13" i="2"/>
  <c r="F13" i="2"/>
  <c r="N11" i="2"/>
  <c r="F11" i="2"/>
  <c r="N10" i="2"/>
  <c r="F10" i="2"/>
  <c r="N9" i="2"/>
  <c r="F9" i="2"/>
  <c r="N6" i="2"/>
  <c r="H6" i="2"/>
  <c r="P72" i="2" l="1"/>
  <c r="P74" i="2" s="1"/>
  <c r="D74" i="2"/>
  <c r="L72" i="2"/>
  <c r="L69" i="2"/>
  <c r="L53" i="2"/>
  <c r="L52" i="2"/>
  <c r="L50" i="2"/>
  <c r="L48" i="2"/>
  <c r="L45" i="2"/>
  <c r="C54" i="2"/>
  <c r="L65" i="2"/>
  <c r="L27" i="2"/>
  <c r="L64" i="2"/>
  <c r="L61" i="2"/>
  <c r="C66" i="2"/>
  <c r="L57" i="2"/>
  <c r="L35" i="2"/>
  <c r="P26" i="2"/>
  <c r="P25" i="2"/>
  <c r="H33" i="2"/>
  <c r="G33" i="2" s="1"/>
  <c r="H26" i="2"/>
  <c r="J26" i="2" s="1"/>
  <c r="J25" i="2"/>
  <c r="J6" i="2"/>
  <c r="P6" i="2"/>
  <c r="H9" i="2"/>
  <c r="P9" i="2"/>
  <c r="H10" i="2"/>
  <c r="G10" i="2" s="1"/>
  <c r="P10" i="2"/>
  <c r="H11" i="2"/>
  <c r="G11" i="2" s="1"/>
  <c r="P11" i="2"/>
  <c r="H13" i="2"/>
  <c r="G13" i="2" s="1"/>
  <c r="P13" i="2"/>
  <c r="H14" i="2"/>
  <c r="G14" i="2" s="1"/>
  <c r="P14" i="2"/>
  <c r="C35" i="2"/>
  <c r="H18" i="2"/>
  <c r="P18" i="2"/>
  <c r="H21" i="2"/>
  <c r="P21" i="2"/>
  <c r="H23" i="2"/>
  <c r="G23" i="2" s="1"/>
  <c r="P23" i="2"/>
  <c r="G6" i="2"/>
  <c r="G9" i="2"/>
  <c r="G18" i="2"/>
  <c r="D27" i="2"/>
  <c r="D35" i="2" s="1"/>
  <c r="G21" i="2"/>
  <c r="H22" i="2"/>
  <c r="P22" i="2"/>
  <c r="G25" i="2"/>
  <c r="H30" i="2"/>
  <c r="P33" i="2"/>
  <c r="J69" i="2" l="1"/>
  <c r="G69" i="2"/>
  <c r="G53" i="2"/>
  <c r="J53" i="2"/>
  <c r="L54" i="2"/>
  <c r="G52" i="2"/>
  <c r="J52" i="2"/>
  <c r="J50" i="2"/>
  <c r="G50" i="2"/>
  <c r="J48" i="2"/>
  <c r="G48" i="2"/>
  <c r="C74" i="2"/>
  <c r="G45" i="2"/>
  <c r="J45" i="2"/>
  <c r="H54" i="2"/>
  <c r="J65" i="2"/>
  <c r="G65" i="2"/>
  <c r="J64" i="2"/>
  <c r="G64" i="2"/>
  <c r="L66" i="2"/>
  <c r="L74" i="2" s="1"/>
  <c r="J61" i="2"/>
  <c r="G61" i="2"/>
  <c r="I6" i="2"/>
  <c r="M52" i="2"/>
  <c r="Q52" i="2" s="1"/>
  <c r="M50" i="2"/>
  <c r="Q50" i="2" s="1"/>
  <c r="M60" i="2"/>
  <c r="Q60" i="2" s="1"/>
  <c r="M62" i="2"/>
  <c r="Q62" i="2" s="1"/>
  <c r="M64" i="2"/>
  <c r="Q64" i="2" s="1"/>
  <c r="M53" i="2"/>
  <c r="Q53" i="2" s="1"/>
  <c r="M61" i="2"/>
  <c r="Q61" i="2" s="1"/>
  <c r="M69" i="2"/>
  <c r="Q69" i="2" s="1"/>
  <c r="M65" i="2"/>
  <c r="Q65" i="2" s="1"/>
  <c r="M48" i="2"/>
  <c r="Q48" i="2" s="1"/>
  <c r="M49" i="2"/>
  <c r="Q49" i="2" s="1"/>
  <c r="G57" i="2"/>
  <c r="H66" i="2"/>
  <c r="J57" i="2"/>
  <c r="V69" i="2"/>
  <c r="V52" i="2"/>
  <c r="V57" i="2"/>
  <c r="V53" i="2"/>
  <c r="V50" i="2"/>
  <c r="V49" i="2"/>
  <c r="V48" i="2"/>
  <c r="V45" i="2"/>
  <c r="V72" i="2"/>
  <c r="V61" i="2"/>
  <c r="V64" i="2"/>
  <c r="V62" i="2"/>
  <c r="V60" i="2"/>
  <c r="V65" i="2"/>
  <c r="M6" i="2"/>
  <c r="Q6" i="2" s="1"/>
  <c r="G26" i="2"/>
  <c r="I26" i="2"/>
  <c r="M26" i="2" s="1"/>
  <c r="Q26" i="2" s="1"/>
  <c r="H15" i="2"/>
  <c r="V30" i="2"/>
  <c r="V26" i="2"/>
  <c r="V25" i="2"/>
  <c r="V21" i="2"/>
  <c r="V18" i="2"/>
  <c r="V14" i="2"/>
  <c r="V13" i="2"/>
  <c r="V11" i="2"/>
  <c r="V10" i="2"/>
  <c r="V9" i="2"/>
  <c r="V6" i="2"/>
  <c r="V23" i="2"/>
  <c r="V22" i="2"/>
  <c r="V33" i="2"/>
  <c r="J22" i="2"/>
  <c r="I22" i="2"/>
  <c r="M22" i="2" s="1"/>
  <c r="I23" i="2"/>
  <c r="M23" i="2" s="1"/>
  <c r="J23" i="2"/>
  <c r="P27" i="2"/>
  <c r="P15" i="2"/>
  <c r="I30" i="2"/>
  <c r="M30" i="2" s="1"/>
  <c r="J30" i="2"/>
  <c r="G30" i="2"/>
  <c r="G22" i="2"/>
  <c r="I21" i="2"/>
  <c r="M21" i="2" s="1"/>
  <c r="J21" i="2"/>
  <c r="H27" i="2"/>
  <c r="I18" i="2"/>
  <c r="J18" i="2"/>
  <c r="I14" i="2"/>
  <c r="M14" i="2" s="1"/>
  <c r="J14" i="2"/>
  <c r="I13" i="2"/>
  <c r="M13" i="2" s="1"/>
  <c r="J13" i="2"/>
  <c r="I11" i="2"/>
  <c r="M11" i="2" s="1"/>
  <c r="J11" i="2"/>
  <c r="I10" i="2"/>
  <c r="M10" i="2" s="1"/>
  <c r="J10" i="2"/>
  <c r="I9" i="2"/>
  <c r="M9" i="2" s="1"/>
  <c r="J9" i="2"/>
  <c r="I33" i="2"/>
  <c r="M33" i="2" s="1"/>
  <c r="I25" i="2"/>
  <c r="M25" i="2" s="1"/>
  <c r="Q33" i="2" l="1"/>
  <c r="T33" i="2" s="1"/>
  <c r="U33" i="2" s="1"/>
  <c r="E72" i="2"/>
  <c r="H72" i="2" s="1"/>
  <c r="E46" i="1"/>
  <c r="T26" i="2"/>
  <c r="U26" i="2" s="1"/>
  <c r="S26" i="2"/>
  <c r="R26" i="2"/>
  <c r="O26" i="2"/>
  <c r="S49" i="2"/>
  <c r="R49" i="2"/>
  <c r="T49" i="2"/>
  <c r="U49" i="2" s="1"/>
  <c r="O49" i="2"/>
  <c r="R69" i="2"/>
  <c r="S69" i="2"/>
  <c r="T69" i="2"/>
  <c r="U69" i="2" s="1"/>
  <c r="O69" i="2"/>
  <c r="M45" i="2"/>
  <c r="Q45" i="2" s="1"/>
  <c r="I54" i="2"/>
  <c r="T64" i="2"/>
  <c r="U64" i="2" s="1"/>
  <c r="S64" i="2"/>
  <c r="R64" i="2"/>
  <c r="O64" i="2"/>
  <c r="R60" i="2"/>
  <c r="S60" i="2"/>
  <c r="T60" i="2"/>
  <c r="U60" i="2" s="1"/>
  <c r="O60" i="2"/>
  <c r="R52" i="2"/>
  <c r="O52" i="2"/>
  <c r="S52" i="2"/>
  <c r="T52" i="2"/>
  <c r="U52" i="2" s="1"/>
  <c r="I66" i="2"/>
  <c r="M57" i="2"/>
  <c r="Q57" i="2" s="1"/>
  <c r="T48" i="2"/>
  <c r="U48" i="2" s="1"/>
  <c r="O48" i="2"/>
  <c r="S48" i="2"/>
  <c r="R48" i="2"/>
  <c r="R65" i="2"/>
  <c r="O65" i="2"/>
  <c r="S65" i="2"/>
  <c r="T65" i="2"/>
  <c r="U65" i="2" s="1"/>
  <c r="R61" i="2"/>
  <c r="O61" i="2"/>
  <c r="T61" i="2"/>
  <c r="U61" i="2" s="1"/>
  <c r="S61" i="2"/>
  <c r="R53" i="2"/>
  <c r="S53" i="2"/>
  <c r="T53" i="2"/>
  <c r="U53" i="2" s="1"/>
  <c r="O53" i="2"/>
  <c r="R62" i="2"/>
  <c r="O62" i="2"/>
  <c r="T62" i="2"/>
  <c r="U62" i="2" s="1"/>
  <c r="S62" i="2"/>
  <c r="T50" i="2"/>
  <c r="U50" i="2" s="1"/>
  <c r="O50" i="2"/>
  <c r="R50" i="2"/>
  <c r="S50" i="2"/>
  <c r="H35" i="2"/>
  <c r="P35" i="2"/>
  <c r="Q10" i="2"/>
  <c r="R10" i="2" s="1"/>
  <c r="E37" i="1"/>
  <c r="Q14" i="2"/>
  <c r="T14" i="2" s="1"/>
  <c r="U14" i="2" s="1"/>
  <c r="E40" i="1"/>
  <c r="E35" i="1"/>
  <c r="Q9" i="2"/>
  <c r="T9" i="2" s="1"/>
  <c r="U9" i="2" s="1"/>
  <c r="E36" i="1"/>
  <c r="Q11" i="2"/>
  <c r="R11" i="2" s="1"/>
  <c r="E38" i="1"/>
  <c r="Q13" i="2"/>
  <c r="T13" i="2" s="1"/>
  <c r="U13" i="2" s="1"/>
  <c r="E39" i="1"/>
  <c r="Q30" i="2"/>
  <c r="R30" i="2" s="1"/>
  <c r="E47" i="1"/>
  <c r="Q22" i="2"/>
  <c r="R22" i="2" s="1"/>
  <c r="E43" i="1"/>
  <c r="Q25" i="2"/>
  <c r="T25" i="2" s="1"/>
  <c r="U25" i="2" s="1"/>
  <c r="E45" i="1"/>
  <c r="Q21" i="2"/>
  <c r="T21" i="2" s="1"/>
  <c r="U21" i="2" s="1"/>
  <c r="E42" i="1"/>
  <c r="Q23" i="2"/>
  <c r="T23" i="2" s="1"/>
  <c r="U23" i="2" s="1"/>
  <c r="E44" i="1"/>
  <c r="R25" i="2"/>
  <c r="R33" i="2"/>
  <c r="S33" i="2"/>
  <c r="I15" i="2"/>
  <c r="T10" i="2"/>
  <c r="U10" i="2" s="1"/>
  <c r="I27" i="2"/>
  <c r="M18" i="2"/>
  <c r="R21" i="2"/>
  <c r="T6" i="2"/>
  <c r="U6" i="2" s="1"/>
  <c r="R6" i="2"/>
  <c r="S6" i="2"/>
  <c r="T30" i="2"/>
  <c r="U30" i="2" s="1"/>
  <c r="O6" i="2"/>
  <c r="O10" i="2"/>
  <c r="O33" i="2"/>
  <c r="I72" i="2" l="1"/>
  <c r="M72" i="2" s="1"/>
  <c r="Q72" i="2" s="1"/>
  <c r="S72" i="2" s="1"/>
  <c r="G72" i="2"/>
  <c r="H74" i="2"/>
  <c r="R23" i="2"/>
  <c r="O14" i="2"/>
  <c r="I74" i="2"/>
  <c r="T22" i="2"/>
  <c r="U22" i="2" s="1"/>
  <c r="O13" i="2"/>
  <c r="R13" i="2"/>
  <c r="O9" i="2"/>
  <c r="O23" i="2"/>
  <c r="T11" i="2"/>
  <c r="U11" i="2" s="1"/>
  <c r="S25" i="2"/>
  <c r="Q66" i="2"/>
  <c r="T57" i="2"/>
  <c r="U57" i="2" s="1"/>
  <c r="O57" i="2"/>
  <c r="R57" i="2"/>
  <c r="R66" i="2" s="1"/>
  <c r="S57" i="2"/>
  <c r="O21" i="2"/>
  <c r="O30" i="2"/>
  <c r="Q15" i="2"/>
  <c r="O11" i="2"/>
  <c r="R9" i="2"/>
  <c r="O25" i="2"/>
  <c r="O45" i="2"/>
  <c r="T45" i="2"/>
  <c r="U45" i="2" s="1"/>
  <c r="S45" i="2"/>
  <c r="R45" i="2"/>
  <c r="R54" i="2" s="1"/>
  <c r="Q54" i="2"/>
  <c r="S14" i="2"/>
  <c r="S10" i="2"/>
  <c r="R14" i="2"/>
  <c r="S30" i="2"/>
  <c r="S13" i="2"/>
  <c r="S11" i="2"/>
  <c r="S9" i="2"/>
  <c r="S23" i="2"/>
  <c r="S21" i="2"/>
  <c r="Q18" i="2"/>
  <c r="T18" i="2" s="1"/>
  <c r="U18" i="2" s="1"/>
  <c r="E41" i="1"/>
  <c r="S22" i="2"/>
  <c r="O22" i="2"/>
  <c r="R18" i="2"/>
  <c r="R27" i="2" s="1"/>
  <c r="I35" i="2"/>
  <c r="R72" i="2" l="1"/>
  <c r="O72" i="2"/>
  <c r="T72" i="2"/>
  <c r="U72" i="2" s="1"/>
  <c r="R15" i="2"/>
  <c r="R74" i="2"/>
  <c r="Q74" i="2"/>
  <c r="S74" i="2" s="1"/>
  <c r="S18" i="2"/>
  <c r="O18" i="2"/>
  <c r="R35" i="2"/>
  <c r="Q27" i="2"/>
  <c r="Q35" i="2" s="1"/>
  <c r="W25" i="2" s="1"/>
  <c r="W18" i="2" l="1"/>
  <c r="S35" i="2"/>
  <c r="W13" i="2"/>
  <c r="W6" i="2"/>
  <c r="W9" i="2"/>
  <c r="W23" i="2"/>
  <c r="W10" i="2"/>
  <c r="W14" i="2"/>
  <c r="W33" i="2"/>
  <c r="W22" i="2"/>
  <c r="W30" i="2"/>
  <c r="W21" i="2"/>
  <c r="W52" i="2"/>
  <c r="W53" i="2"/>
  <c r="W69" i="2"/>
  <c r="W62" i="2"/>
  <c r="W50" i="2"/>
  <c r="W65" i="2"/>
  <c r="W60" i="2"/>
  <c r="W45" i="2"/>
  <c r="W61" i="2"/>
  <c r="W64" i="2"/>
  <c r="W49" i="2"/>
  <c r="W72" i="2"/>
  <c r="W48" i="2"/>
  <c r="W57" i="2"/>
  <c r="W11" i="2"/>
  <c r="W26" i="2"/>
  <c r="A34" i="1"/>
  <c r="D15" i="1" l="1"/>
  <c r="E23" i="1"/>
  <c r="E22" i="1"/>
  <c r="E16" i="1"/>
  <c r="E15" i="1"/>
  <c r="D16" i="1"/>
  <c r="D30" i="1" s="1"/>
  <c r="B33" i="1"/>
  <c r="E24" i="1" l="1"/>
  <c r="E17" i="1"/>
  <c r="D29" i="1"/>
  <c r="D17" i="1"/>
  <c r="D22" i="1"/>
  <c r="E29" i="1"/>
  <c r="D23" i="1"/>
  <c r="F30" i="1" s="1"/>
  <c r="E30" i="1"/>
  <c r="F29" i="1" l="1"/>
  <c r="D24" i="1"/>
  <c r="F24" i="1" s="1"/>
  <c r="G24" i="1" s="1"/>
  <c r="F17" i="1"/>
  <c r="G17" i="1" s="1"/>
</calcChain>
</file>

<file path=xl/sharedStrings.xml><?xml version="1.0" encoding="utf-8"?>
<sst xmlns="http://schemas.openxmlformats.org/spreadsheetml/2006/main" count="186" uniqueCount="108">
  <si>
    <t>Ordinary Rate Increase Calculator</t>
  </si>
  <si>
    <t>Farmland</t>
  </si>
  <si>
    <t>Residential Rate</t>
  </si>
  <si>
    <t>Business Rate</t>
  </si>
  <si>
    <t>Residential Tamworth</t>
  </si>
  <si>
    <t>Residential Barraba</t>
  </si>
  <si>
    <t>Residential Manilla</t>
  </si>
  <si>
    <t>Residential Kootingal/Moonbi</t>
  </si>
  <si>
    <t>Residential Villages</t>
  </si>
  <si>
    <t>Business Tamworth</t>
  </si>
  <si>
    <t>Business Barraba</t>
  </si>
  <si>
    <t>Business Manilla</t>
  </si>
  <si>
    <t>Business Kootingal/Moonbi</t>
  </si>
  <si>
    <t>Business Villages</t>
  </si>
  <si>
    <t>Rateable Value:</t>
  </si>
  <si>
    <t>Ordinary Rate Category Type:</t>
  </si>
  <si>
    <t>Weekly Increase</t>
  </si>
  <si>
    <t>Residential</t>
  </si>
  <si>
    <t>Please enter the details below for the Ordinary Rate shown on your 2023/24 Rate Notice.</t>
  </si>
  <si>
    <t>Current Base Amount</t>
  </si>
  <si>
    <t>Current Ad Valorem Rate</t>
  </si>
  <si>
    <t>Rates or Charges</t>
  </si>
  <si>
    <t>Charge Code</t>
  </si>
  <si>
    <t>No of Properties</t>
  </si>
  <si>
    <t>Rate in $</t>
  </si>
  <si>
    <t>Base Amount</t>
  </si>
  <si>
    <t>Base %</t>
  </si>
  <si>
    <t>Current Average</t>
  </si>
  <si>
    <t>Base Total</t>
  </si>
  <si>
    <t>Variance $</t>
  </si>
  <si>
    <t>Variance %</t>
  </si>
  <si>
    <t>Estimate Average</t>
  </si>
  <si>
    <t>% of Prop No.</t>
  </si>
  <si>
    <t>% of Income</t>
  </si>
  <si>
    <t>Rates</t>
  </si>
  <si>
    <t>Ordinary Rates</t>
  </si>
  <si>
    <t>Residential - Tamworth</t>
  </si>
  <si>
    <t>OrdResTam</t>
  </si>
  <si>
    <t>Town</t>
  </si>
  <si>
    <t>Residential - Barraba Town</t>
  </si>
  <si>
    <t>OrdResBar</t>
  </si>
  <si>
    <t>Residential - Manilla Town</t>
  </si>
  <si>
    <t>OrdResMan</t>
  </si>
  <si>
    <t>Residential - Kootingal/Moonbi</t>
  </si>
  <si>
    <t>OrdResTKM</t>
  </si>
  <si>
    <t>Residential - Village</t>
  </si>
  <si>
    <t>OrdResVil</t>
  </si>
  <si>
    <t>Ordinary Residential</t>
  </si>
  <si>
    <t>OrdResStd</t>
  </si>
  <si>
    <t>Residential Total</t>
  </si>
  <si>
    <t>Business</t>
  </si>
  <si>
    <t>Business - Tamworth</t>
  </si>
  <si>
    <t>OrdBusTam</t>
  </si>
  <si>
    <t>Business - Barraba Town</t>
  </si>
  <si>
    <t>OrdBusBar</t>
  </si>
  <si>
    <t>Business - Manilla Town</t>
  </si>
  <si>
    <t>OrdBusMan</t>
  </si>
  <si>
    <t>Business - Kootingal</t>
  </si>
  <si>
    <t>OrdBusTKM</t>
  </si>
  <si>
    <t>Business - Village</t>
  </si>
  <si>
    <t>OrdBusVil</t>
  </si>
  <si>
    <t>Ordinary Business</t>
  </si>
  <si>
    <t>OrdBusStd</t>
  </si>
  <si>
    <t>Business Total</t>
  </si>
  <si>
    <t>Ordinary Farmland</t>
  </si>
  <si>
    <t>OrdFrmStd</t>
  </si>
  <si>
    <t>Mining</t>
  </si>
  <si>
    <t>OrdMinStd</t>
  </si>
  <si>
    <t>RATES GRAND TOTAL</t>
  </si>
  <si>
    <t>Current 2023-2024 Rates &amp; Charges</t>
  </si>
  <si>
    <t>2023-2024 Land Value</t>
  </si>
  <si>
    <t>2023-2024 Total</t>
  </si>
  <si>
    <t>2024-2025 Estimate</t>
  </si>
  <si>
    <t>2024-2025 Estimate Total</t>
  </si>
  <si>
    <t>2025-2026 Estimate Total</t>
  </si>
  <si>
    <t>Ordinary Rates for 2023/24</t>
  </si>
  <si>
    <t>Ordinary Rate Description</t>
  </si>
  <si>
    <t>Increase Amount</t>
  </si>
  <si>
    <t>Amount of annual increase to 2024/25 Ordinary Rates</t>
  </si>
  <si>
    <t>Ordinary Rates for 2024/25</t>
  </si>
  <si>
    <t>Amount of annual increase to 2025/26 Ordinary Rates</t>
  </si>
  <si>
    <t>Amount of annual increase to Ordinary Rates</t>
  </si>
  <si>
    <t>2 year Overall Increase</t>
  </si>
  <si>
    <t>Proposed SV 2024-2025 Rates &amp; Charges - 18.5% Increase</t>
  </si>
  <si>
    <t>Ad Valorem      (c in $)</t>
  </si>
  <si>
    <t>2024-2025 Land Value</t>
  </si>
  <si>
    <t>2024-2025 Total</t>
  </si>
  <si>
    <t>2025-2026 Estimate</t>
  </si>
  <si>
    <t>2025-2026 Land Value</t>
  </si>
  <si>
    <t>Proposed SV 2025-2026 Rates &amp; Charges - 15.0% Increase</t>
  </si>
  <si>
    <t>Proposed 18.5% Increase</t>
  </si>
  <si>
    <t>Proposed 15.0% Increase</t>
  </si>
  <si>
    <t>Ordinary Rates for 2024/25 - 18.5% Increase</t>
  </si>
  <si>
    <t>Ordinary Rates for 2025/26 - 15.0% Increase</t>
  </si>
  <si>
    <t>Year 1 - 2024/25 Proposed 18.5% Increase</t>
  </si>
  <si>
    <t>Year 2 - 2025/26 Proposed 15.0% Increase</t>
  </si>
  <si>
    <t>Summary - Cumulative 36.3% Increase</t>
  </si>
  <si>
    <t>2024/25 Proposed SV Ad Valorem Rate</t>
  </si>
  <si>
    <t>2024/25 Proposed SV Base Amount</t>
  </si>
  <si>
    <t>2025/26 Proposed SV Ad Valorem Rate</t>
  </si>
  <si>
    <t>2025/26 Proposed SV Base Amount</t>
  </si>
  <si>
    <t>Location:</t>
  </si>
  <si>
    <t xml:space="preserve"> select your Rate Category Type - Residential, Business or Farmland.</t>
  </si>
  <si>
    <t xml:space="preserve"> type in your rateable value from your Rates &amp; Charges notice.</t>
  </si>
  <si>
    <t>Note: This rate calculator is an estimate only of how the special rate variation could affect your property – it does not calculate any water, sewerage or waste charges.</t>
  </si>
  <si>
    <t>Tamworth</t>
  </si>
  <si>
    <t xml:space="preserve"> select your location or not applicable for farmland.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</si>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</sst>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#,##0_ ;\-#,##0\ "/>
    <numFmt numFmtId="166" formatCode="_(* #,##0.00_);_(* \(#,##0.00\);_(* &quot;-&quot;??_);_(@_)"/>
    <numFmt numFmtId="167" formatCode="_-* #,##0_-;\-* #,##0_-;_-* &quot;-&quot;??_-;_-@_-"/>
    <numFmt numFmtId="168" formatCode="0.0%"/>
    <numFmt numFmtId="169" formatCode="0.000000"/>
    <numFmt numFmtId="170" formatCode="0.0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" fillId="0" borderId="0"/>
  </cellStyleXfs>
  <cellXfs count="89">
    <xf numFmtId="0" fontId="0" fillId="0" borderId="0" xfId="0"/>
    <xf numFmtId="0" fontId="0" fillId="0" borderId="0" xfId="0" applyProtection="1"/>
    <xf numFmtId="0" fontId="0" fillId="2" borderId="4" xfId="0" applyFill="1" applyBorder="1" applyProtection="1"/>
    <xf numFmtId="0" fontId="3" fillId="2" borderId="5" xfId="0" applyFont="1" applyFill="1" applyBorder="1" applyProtection="1"/>
    <xf numFmtId="0" fontId="0" fillId="2" borderId="5" xfId="0" applyFill="1" applyBorder="1" applyProtection="1"/>
    <xf numFmtId="0" fontId="0" fillId="2" borderId="6" xfId="0" applyFill="1" applyBorder="1" applyProtection="1"/>
    <xf numFmtId="0" fontId="0" fillId="2" borderId="7" xfId="0" applyFill="1" applyBorder="1" applyProtection="1"/>
    <xf numFmtId="0" fontId="0" fillId="2" borderId="0" xfId="0" applyFill="1" applyBorder="1" applyProtection="1"/>
    <xf numFmtId="0" fontId="0" fillId="2" borderId="8" xfId="0" applyFill="1" applyBorder="1" applyProtection="1"/>
    <xf numFmtId="0" fontId="0" fillId="2" borderId="2" xfId="0" applyFill="1" applyBorder="1" applyProtection="1"/>
    <xf numFmtId="0" fontId="0" fillId="2" borderId="12" xfId="0" applyFill="1" applyBorder="1" applyProtection="1"/>
    <xf numFmtId="0" fontId="0" fillId="2" borderId="3" xfId="0" applyFill="1" applyBorder="1" applyProtection="1"/>
    <xf numFmtId="10" fontId="0" fillId="2" borderId="0" xfId="2" applyNumberFormat="1" applyFont="1" applyFill="1" applyBorder="1" applyAlignment="1" applyProtection="1">
      <alignment horizontal="left"/>
    </xf>
    <xf numFmtId="164" fontId="0" fillId="4" borderId="1" xfId="1" applyFont="1" applyFill="1" applyBorder="1" applyProtection="1"/>
    <xf numFmtId="0" fontId="1" fillId="0" borderId="0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0" fillId="2" borderId="9" xfId="0" applyFill="1" applyBorder="1" applyProtection="1"/>
    <xf numFmtId="0" fontId="0" fillId="2" borderId="10" xfId="0" applyFill="1" applyBorder="1" applyProtection="1"/>
    <xf numFmtId="0" fontId="0" fillId="2" borderId="11" xfId="0" applyFill="1" applyBorder="1" applyProtection="1"/>
    <xf numFmtId="164" fontId="0" fillId="4" borderId="13" xfId="1" applyFont="1" applyFill="1" applyBorder="1" applyProtection="1"/>
    <xf numFmtId="0" fontId="0" fillId="2" borderId="0" xfId="0" applyFill="1" applyBorder="1" applyAlignment="1" applyProtection="1">
      <alignment horizontal="center" vertical="center" wrapText="1"/>
    </xf>
    <xf numFmtId="43" fontId="0" fillId="2" borderId="0" xfId="3" applyFont="1" applyFill="1" applyBorder="1" applyProtection="1"/>
    <xf numFmtId="43" fontId="0" fillId="2" borderId="0" xfId="0" applyNumberFormat="1" applyFill="1" applyBorder="1" applyProtection="1"/>
    <xf numFmtId="167" fontId="5" fillId="0" borderId="0" xfId="4" applyNumberFormat="1" applyFont="1" applyAlignment="1">
      <alignment horizontal="center"/>
    </xf>
    <xf numFmtId="168" fontId="7" fillId="0" borderId="0" xfId="5" applyNumberFormat="1" applyFont="1"/>
    <xf numFmtId="10" fontId="5" fillId="0" borderId="0" xfId="5" applyNumberFormat="1" applyFont="1"/>
    <xf numFmtId="0" fontId="8" fillId="0" borderId="0" xfId="0" applyFont="1" applyAlignment="1">
      <alignment horizontal="center" wrapText="1"/>
    </xf>
    <xf numFmtId="167" fontId="8" fillId="0" borderId="0" xfId="4" applyNumberFormat="1" applyFont="1" applyAlignment="1">
      <alignment horizontal="center" wrapText="1"/>
    </xf>
    <xf numFmtId="166" fontId="8" fillId="0" borderId="0" xfId="4" applyFont="1" applyAlignment="1">
      <alignment horizontal="center" wrapText="1"/>
    </xf>
    <xf numFmtId="0" fontId="8" fillId="0" borderId="0" xfId="0" applyFont="1" applyAlignment="1">
      <alignment horizontal="center"/>
    </xf>
    <xf numFmtId="0" fontId="6" fillId="0" borderId="0" xfId="0" applyFont="1"/>
    <xf numFmtId="167" fontId="5" fillId="0" borderId="0" xfId="4" applyNumberFormat="1" applyFont="1"/>
    <xf numFmtId="166" fontId="5" fillId="0" borderId="0" xfId="4" applyFont="1"/>
    <xf numFmtId="0" fontId="8" fillId="0" borderId="0" xfId="0" applyFont="1"/>
    <xf numFmtId="166" fontId="0" fillId="0" borderId="0" xfId="0" applyNumberFormat="1"/>
    <xf numFmtId="169" fontId="0" fillId="0" borderId="0" xfId="0" applyNumberFormat="1"/>
    <xf numFmtId="43" fontId="0" fillId="0" borderId="0" xfId="3" applyFont="1"/>
    <xf numFmtId="43" fontId="0" fillId="0" borderId="0" xfId="0" applyNumberFormat="1"/>
    <xf numFmtId="167" fontId="5" fillId="0" borderId="0" xfId="4" applyNumberFormat="1" applyFont="1" applyFill="1"/>
    <xf numFmtId="166" fontId="5" fillId="0" borderId="0" xfId="5" applyNumberFormat="1"/>
    <xf numFmtId="168" fontId="5" fillId="0" borderId="0" xfId="5" applyNumberFormat="1"/>
    <xf numFmtId="166" fontId="5" fillId="0" borderId="0" xfId="5" applyNumberFormat="1" applyFont="1"/>
    <xf numFmtId="166" fontId="5" fillId="0" borderId="0" xfId="7" applyFont="1"/>
    <xf numFmtId="10" fontId="0" fillId="0" borderId="0" xfId="5" applyNumberFormat="1" applyFont="1"/>
    <xf numFmtId="0" fontId="7" fillId="0" borderId="0" xfId="0" applyFont="1"/>
    <xf numFmtId="9" fontId="5" fillId="0" borderId="0" xfId="5"/>
    <xf numFmtId="167" fontId="7" fillId="0" borderId="0" xfId="4" applyNumberFormat="1" applyFont="1" applyFill="1"/>
    <xf numFmtId="167" fontId="7" fillId="0" borderId="0" xfId="4" applyNumberFormat="1" applyFont="1"/>
    <xf numFmtId="166" fontId="7" fillId="0" borderId="0" xfId="0" applyNumberFormat="1" applyFont="1"/>
    <xf numFmtId="166" fontId="7" fillId="0" borderId="0" xfId="7" applyFont="1"/>
    <xf numFmtId="10" fontId="7" fillId="0" borderId="0" xfId="5" applyNumberFormat="1" applyFont="1"/>
    <xf numFmtId="10" fontId="6" fillId="0" borderId="0" xfId="5" applyNumberFormat="1" applyFont="1"/>
    <xf numFmtId="9" fontId="7" fillId="0" borderId="0" xfId="5" applyFont="1"/>
    <xf numFmtId="0" fontId="5" fillId="0" borderId="0" xfId="0" applyFont="1" applyAlignment="1">
      <alignment wrapText="1"/>
    </xf>
    <xf numFmtId="0" fontId="5" fillId="0" borderId="0" xfId="0" applyFont="1"/>
    <xf numFmtId="168" fontId="5" fillId="0" borderId="0" xfId="5" applyNumberFormat="1" applyFont="1"/>
    <xf numFmtId="166" fontId="5" fillId="0" borderId="0" xfId="0" applyNumberFormat="1" applyFont="1"/>
    <xf numFmtId="9" fontId="0" fillId="0" borderId="0" xfId="5" applyFont="1"/>
    <xf numFmtId="170" fontId="0" fillId="0" borderId="0" xfId="0" applyNumberFormat="1"/>
    <xf numFmtId="164" fontId="7" fillId="0" borderId="0" xfId="0" applyNumberFormat="1" applyFont="1"/>
    <xf numFmtId="167" fontId="7" fillId="0" borderId="0" xfId="0" applyNumberFormat="1" applyFont="1"/>
    <xf numFmtId="167" fontId="7" fillId="0" borderId="0" xfId="7" applyNumberFormat="1" applyFont="1"/>
    <xf numFmtId="170" fontId="7" fillId="0" borderId="0" xfId="0" applyNumberFormat="1" applyFont="1"/>
    <xf numFmtId="164" fontId="0" fillId="0" borderId="0" xfId="0" applyNumberFormat="1"/>
    <xf numFmtId="167" fontId="5" fillId="0" borderId="0" xfId="7" applyNumberFormat="1" applyAlignment="1">
      <alignment horizontal="center"/>
    </xf>
    <xf numFmtId="166" fontId="5" fillId="0" borderId="0" xfId="7"/>
    <xf numFmtId="167" fontId="5" fillId="0" borderId="0" xfId="4" applyNumberFormat="1" applyAlignment="1">
      <alignment horizontal="center"/>
    </xf>
    <xf numFmtId="167" fontId="5" fillId="0" borderId="0" xfId="4" applyNumberFormat="1"/>
    <xf numFmtId="166" fontId="5" fillId="0" borderId="0" xfId="4"/>
    <xf numFmtId="0" fontId="0" fillId="3" borderId="1" xfId="0" applyFill="1" applyBorder="1" applyAlignment="1" applyProtection="1">
      <alignment horizontal="center" vertical="center" wrapText="1"/>
    </xf>
    <xf numFmtId="0" fontId="0" fillId="3" borderId="3" xfId="0" applyFill="1" applyBorder="1" applyAlignment="1" applyProtection="1">
      <alignment horizontal="center" vertical="center" wrapText="1"/>
    </xf>
    <xf numFmtId="164" fontId="0" fillId="4" borderId="1" xfId="1" applyFont="1" applyFill="1" applyBorder="1" applyAlignment="1" applyProtection="1">
      <alignment horizontal="center" vertical="center" wrapText="1"/>
    </xf>
    <xf numFmtId="10" fontId="0" fillId="3" borderId="1" xfId="0" applyNumberFormat="1" applyFill="1" applyBorder="1" applyAlignment="1" applyProtection="1">
      <alignment horizontal="center" vertical="center" wrapText="1"/>
    </xf>
    <xf numFmtId="44" fontId="0" fillId="0" borderId="0" xfId="0" applyNumberFormat="1" applyProtection="1"/>
    <xf numFmtId="0" fontId="0" fillId="0" borderId="7" xfId="0" applyBorder="1" applyAlignment="1" applyProtection="1">
      <alignment horizontal="center"/>
    </xf>
    <xf numFmtId="0" fontId="0" fillId="0" borderId="7" xfId="0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left" wrapText="1"/>
    </xf>
    <xf numFmtId="0" fontId="0" fillId="2" borderId="0" xfId="0" applyFill="1" applyBorder="1" applyAlignment="1" applyProtection="1">
      <alignment horizontal="left" wrapText="1"/>
    </xf>
    <xf numFmtId="0" fontId="0" fillId="3" borderId="14" xfId="0" applyFill="1" applyBorder="1" applyAlignment="1" applyProtection="1">
      <alignment horizontal="center" wrapText="1"/>
    </xf>
    <xf numFmtId="0" fontId="0" fillId="3" borderId="13" xfId="0" applyFill="1" applyBorder="1" applyAlignment="1" applyProtection="1">
      <alignment horizontal="center" wrapText="1"/>
    </xf>
    <xf numFmtId="0" fontId="0" fillId="3" borderId="2" xfId="0" applyFill="1" applyBorder="1" applyAlignment="1" applyProtection="1">
      <alignment horizontal="center" vertical="center" wrapText="1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3" xfId="0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165" fontId="0" fillId="0" borderId="2" xfId="1" applyNumberFormat="1" applyFont="1" applyFill="1" applyBorder="1" applyAlignment="1" applyProtection="1">
      <alignment horizontal="center"/>
      <protection locked="0"/>
    </xf>
    <xf numFmtId="165" fontId="0" fillId="0" borderId="3" xfId="1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10" fontId="6" fillId="0" borderId="0" xfId="5" applyNumberFormat="1" applyFont="1" applyAlignment="1">
      <alignment horizontal="center"/>
    </xf>
  </cellXfs>
  <cellStyles count="9">
    <cellStyle name="Comma" xfId="3" builtinId="3"/>
    <cellStyle name="Comma 10" xfId="6" xr:uid="{0583E702-D2C2-484F-B541-8A7D8DCA7F1E}"/>
    <cellStyle name="Comma_Rates Model - 30% Base Residential &amp; Farmland - $250.00 Base Business 2" xfId="4" xr:uid="{07AC7CD6-5174-41D4-9B82-1CA7D4C70B3E}"/>
    <cellStyle name="Comma_Rates Model - Residential 2" xfId="7" xr:uid="{A4961C1E-584F-4F4C-A2B7-7693D8CAF34B}"/>
    <cellStyle name="Currency" xfId="1" builtinId="4"/>
    <cellStyle name="Normal" xfId="0" builtinId="0"/>
    <cellStyle name="Normal 55" xfId="8" xr:uid="{31AA2B47-5BF6-4F54-97E3-CFF721CAEE21}"/>
    <cellStyle name="Percent" xfId="2" builtinId="5"/>
    <cellStyle name="Percent 2 2" xfId="5" xr:uid="{69DEFE5A-092F-4101-BBC6-F714F026F62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9</xdr:row>
      <xdr:rowOff>0</xdr:rowOff>
    </xdr:from>
    <xdr:to>
      <xdr:col>9</xdr:col>
      <xdr:colOff>6050931</xdr:colOff>
      <xdr:row>29</xdr:row>
      <xdr:rowOff>216374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58FCEC9A-7D5E-4E8E-BA60-2152DF49CE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34050" y="1533525"/>
          <a:ext cx="6047756" cy="69378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FC50"/>
  <sheetViews>
    <sheetView tabSelected="1" topLeftCell="B2" workbookViewId="0">
      <selection activeCell="C10" sqref="C10"/>
    </sheetView>
  </sheetViews>
  <sheetFormatPr defaultColWidth="0" defaultRowHeight="14.5" zeroHeight="1" x14ac:dyDescent="0.35"/>
  <cols>
    <col min="1" max="1" width="2.7265625" style="1" hidden="1" customWidth="1"/>
    <col min="2" max="2" width="2.7265625" style="1" customWidth="1"/>
    <col min="3" max="7" width="13.54296875" style="1" customWidth="1"/>
    <col min="8" max="8" width="12.7265625" style="1" bestFit="1" customWidth="1"/>
    <col min="9" max="9" width="2.7265625" style="1" customWidth="1"/>
    <col min="10" max="10" width="90.7265625" style="1" customWidth="1"/>
    <col min="11" max="11" width="10.54296875" style="1" hidden="1" customWidth="1"/>
    <col min="12" max="16383" width="9.1796875" style="1" hidden="1"/>
    <col min="16384" max="16384" width="17.54296875" style="1" hidden="1" customWidth="1"/>
  </cols>
  <sheetData>
    <row r="1" spans="2:11" ht="15" hidden="1" thickBot="1" x14ac:dyDescent="0.4"/>
    <row r="2" spans="2:11" ht="15.5" x14ac:dyDescent="0.35">
      <c r="B2" s="2"/>
      <c r="C2" s="3" t="s">
        <v>0</v>
      </c>
      <c r="D2" s="4"/>
      <c r="E2" s="4"/>
      <c r="F2" s="4"/>
      <c r="G2" s="4"/>
      <c r="H2" s="4"/>
      <c r="I2" s="5"/>
      <c r="J2" s="74"/>
    </row>
    <row r="3" spans="2:11" x14ac:dyDescent="0.35">
      <c r="B3" s="6"/>
      <c r="C3" s="7"/>
      <c r="D3" s="7"/>
      <c r="E3" s="7"/>
      <c r="F3" s="7"/>
      <c r="G3" s="7"/>
      <c r="H3" s="7"/>
      <c r="I3" s="8"/>
      <c r="J3" s="74"/>
    </row>
    <row r="4" spans="2:11" x14ac:dyDescent="0.35">
      <c r="B4" s="6"/>
      <c r="C4" s="77" t="s">
        <v>18</v>
      </c>
      <c r="D4" s="77"/>
      <c r="E4" s="77"/>
      <c r="F4" s="77"/>
      <c r="G4" s="77"/>
      <c r="H4" s="77"/>
      <c r="I4" s="8"/>
      <c r="J4" s="74"/>
    </row>
    <row r="5" spans="2:11" x14ac:dyDescent="0.35">
      <c r="B5" s="6"/>
      <c r="C5" s="7"/>
      <c r="D5" s="7"/>
      <c r="E5" s="7"/>
      <c r="F5" s="7"/>
      <c r="G5" s="7"/>
      <c r="H5" s="7"/>
      <c r="I5" s="8"/>
      <c r="J5" s="74"/>
    </row>
    <row r="6" spans="2:11" x14ac:dyDescent="0.35">
      <c r="B6" s="6"/>
      <c r="C6" s="9" t="s">
        <v>15</v>
      </c>
      <c r="D6" s="10"/>
      <c r="E6" s="11"/>
      <c r="F6" s="83" t="s">
        <v>17</v>
      </c>
      <c r="G6" s="84"/>
      <c r="H6" s="7"/>
      <c r="I6" s="8"/>
      <c r="J6" s="75" t="s">
        <v>102</v>
      </c>
    </row>
    <row r="7" spans="2:11" x14ac:dyDescent="0.35">
      <c r="B7" s="6"/>
      <c r="C7" s="7"/>
      <c r="D7" s="7"/>
      <c r="E7" s="7"/>
      <c r="F7" s="7"/>
      <c r="G7" s="7"/>
      <c r="H7" s="7"/>
      <c r="I7" s="8"/>
      <c r="J7" s="75"/>
    </row>
    <row r="8" spans="2:11" x14ac:dyDescent="0.35">
      <c r="B8" s="6"/>
      <c r="C8" s="9" t="s">
        <v>101</v>
      </c>
      <c r="D8" s="10"/>
      <c r="E8" s="11"/>
      <c r="F8" s="83" t="s">
        <v>105</v>
      </c>
      <c r="G8" s="84"/>
      <c r="H8" s="7"/>
      <c r="I8" s="8"/>
      <c r="J8" s="75" t="s">
        <v>106</v>
      </c>
    </row>
    <row r="9" spans="2:11" x14ac:dyDescent="0.35">
      <c r="B9" s="6"/>
      <c r="C9" s="7"/>
      <c r="D9" s="7"/>
      <c r="E9" s="7"/>
      <c r="F9" s="7"/>
      <c r="G9" s="7"/>
      <c r="H9" s="7"/>
      <c r="I9" s="8"/>
      <c r="J9" s="75"/>
    </row>
    <row r="10" spans="2:11" x14ac:dyDescent="0.35">
      <c r="B10" s="6"/>
      <c r="C10" s="9" t="s">
        <v>14</v>
      </c>
      <c r="D10" s="10"/>
      <c r="E10" s="11"/>
      <c r="F10" s="85">
        <v>100000</v>
      </c>
      <c r="G10" s="86"/>
      <c r="H10" s="7"/>
      <c r="I10" s="8"/>
      <c r="J10" s="75" t="s">
        <v>103</v>
      </c>
    </row>
    <row r="11" spans="2:11" x14ac:dyDescent="0.35">
      <c r="B11" s="6"/>
      <c r="C11" s="7"/>
      <c r="D11" s="7"/>
      <c r="E11" s="7"/>
      <c r="F11" s="7"/>
      <c r="G11" s="7"/>
      <c r="H11" s="7"/>
      <c r="I11" s="8"/>
      <c r="J11" s="75"/>
    </row>
    <row r="12" spans="2:11" x14ac:dyDescent="0.35">
      <c r="B12" s="6"/>
      <c r="C12" s="7" t="s">
        <v>94</v>
      </c>
      <c r="D12" s="7"/>
      <c r="E12" s="7"/>
      <c r="F12" s="7"/>
      <c r="G12" s="7"/>
      <c r="H12" s="7"/>
      <c r="I12" s="8"/>
      <c r="J12" s="75"/>
    </row>
    <row r="13" spans="2:11" ht="29.25" customHeight="1" x14ac:dyDescent="0.35">
      <c r="B13" s="6"/>
      <c r="C13" s="78" t="s">
        <v>76</v>
      </c>
      <c r="D13" s="78" t="s">
        <v>75</v>
      </c>
      <c r="E13" s="80" t="s">
        <v>78</v>
      </c>
      <c r="F13" s="81"/>
      <c r="G13" s="82"/>
      <c r="H13" s="12"/>
      <c r="I13" s="8"/>
      <c r="J13" s="75"/>
    </row>
    <row r="14" spans="2:11" ht="29" x14ac:dyDescent="0.35">
      <c r="B14" s="6"/>
      <c r="C14" s="79"/>
      <c r="D14" s="79"/>
      <c r="E14" s="72" t="s">
        <v>90</v>
      </c>
      <c r="F14" s="69" t="s">
        <v>77</v>
      </c>
      <c r="G14" s="70" t="s">
        <v>16</v>
      </c>
      <c r="H14" s="7"/>
      <c r="I14" s="8"/>
      <c r="J14" s="75"/>
    </row>
    <row r="15" spans="2:11" ht="29" x14ac:dyDescent="0.35">
      <c r="B15" s="6"/>
      <c r="C15" s="71" t="s">
        <v>84</v>
      </c>
      <c r="D15" s="13">
        <f>VLOOKUP(A34,A35:G47,3,FALSE)</f>
        <v>627.79999999999995</v>
      </c>
      <c r="E15" s="13">
        <f>VLOOKUP(A34,A35:H47,5,FALSE)</f>
        <v>759.72321667970243</v>
      </c>
      <c r="F15" s="19"/>
      <c r="G15" s="19"/>
      <c r="H15" s="7"/>
      <c r="I15" s="8"/>
      <c r="J15" s="75"/>
      <c r="K15" s="73"/>
    </row>
    <row r="16" spans="2:11" ht="20.25" customHeight="1" x14ac:dyDescent="0.35">
      <c r="B16" s="6"/>
      <c r="C16" s="71" t="s">
        <v>25</v>
      </c>
      <c r="D16" s="13">
        <f>VLOOKUP(A34,A35:G47,4,FALSE)</f>
        <v>160</v>
      </c>
      <c r="E16" s="13">
        <f>VLOOKUP(A34,A35:H47,6,FALSE)</f>
        <v>160</v>
      </c>
      <c r="F16" s="19"/>
      <c r="G16" s="19"/>
      <c r="H16" s="7"/>
      <c r="I16" s="8"/>
      <c r="J16" s="75"/>
      <c r="K16" s="73"/>
    </row>
    <row r="17" spans="2:11" ht="20.25" customHeight="1" x14ac:dyDescent="0.35">
      <c r="B17" s="6"/>
      <c r="C17" s="71" t="s">
        <v>107</v>
      </c>
      <c r="D17" s="13">
        <f>SUM(D15:D16)</f>
        <v>787.8</v>
      </c>
      <c r="E17" s="13">
        <f>SUM(E15:E16)</f>
        <v>919.72321667970243</v>
      </c>
      <c r="F17" s="19">
        <f>E17-D17</f>
        <v>131.92321667970248</v>
      </c>
      <c r="G17" s="19">
        <f>F17/52</f>
        <v>2.5369849361481247</v>
      </c>
      <c r="H17" s="7"/>
      <c r="I17" s="8"/>
      <c r="J17" s="75"/>
      <c r="K17" s="73"/>
    </row>
    <row r="18" spans="2:11" x14ac:dyDescent="0.35">
      <c r="B18" s="6"/>
      <c r="C18" s="7"/>
      <c r="D18" s="7"/>
      <c r="E18" s="7"/>
      <c r="F18" s="7"/>
      <c r="G18" s="7"/>
      <c r="H18" s="7"/>
      <c r="I18" s="8"/>
      <c r="J18" s="75"/>
    </row>
    <row r="19" spans="2:11" x14ac:dyDescent="0.35">
      <c r="B19" s="6"/>
      <c r="C19" s="7" t="s">
        <v>95</v>
      </c>
      <c r="D19" s="7"/>
      <c r="E19" s="7"/>
      <c r="F19" s="7"/>
      <c r="G19" s="7"/>
      <c r="H19" s="7"/>
      <c r="I19" s="8"/>
      <c r="J19" s="75"/>
    </row>
    <row r="20" spans="2:11" ht="29.25" customHeight="1" x14ac:dyDescent="0.35">
      <c r="B20" s="6"/>
      <c r="C20" s="78" t="s">
        <v>76</v>
      </c>
      <c r="D20" s="78" t="s">
        <v>79</v>
      </c>
      <c r="E20" s="80" t="s">
        <v>80</v>
      </c>
      <c r="F20" s="81"/>
      <c r="G20" s="82"/>
      <c r="H20" s="12"/>
      <c r="I20" s="8"/>
      <c r="J20" s="75"/>
    </row>
    <row r="21" spans="2:11" ht="29" x14ac:dyDescent="0.35">
      <c r="B21" s="6"/>
      <c r="C21" s="79"/>
      <c r="D21" s="79"/>
      <c r="E21" s="72" t="s">
        <v>91</v>
      </c>
      <c r="F21" s="69" t="s">
        <v>77</v>
      </c>
      <c r="G21" s="70" t="s">
        <v>16</v>
      </c>
      <c r="H21" s="7"/>
      <c r="I21" s="8"/>
      <c r="J21" s="75"/>
    </row>
    <row r="22" spans="2:11" ht="29" x14ac:dyDescent="0.35">
      <c r="B22" s="6"/>
      <c r="C22" s="71" t="s">
        <v>84</v>
      </c>
      <c r="D22" s="13">
        <f>E15</f>
        <v>759.72321667970243</v>
      </c>
      <c r="E22" s="13">
        <f>VLOOKUP(A34,A35:H47,7,FALSE)</f>
        <v>886.47646946249745</v>
      </c>
      <c r="F22" s="19"/>
      <c r="G22" s="19"/>
      <c r="H22" s="7"/>
      <c r="I22" s="8"/>
      <c r="J22" s="75"/>
    </row>
    <row r="23" spans="2:11" ht="20.25" customHeight="1" x14ac:dyDescent="0.35">
      <c r="B23" s="6"/>
      <c r="C23" s="71" t="s">
        <v>25</v>
      </c>
      <c r="D23" s="13">
        <f>E16</f>
        <v>160</v>
      </c>
      <c r="E23" s="13">
        <f>VLOOKUP(A34,A35:H47,8,FALSE)</f>
        <v>160</v>
      </c>
      <c r="F23" s="19"/>
      <c r="G23" s="19"/>
      <c r="H23" s="7"/>
      <c r="I23" s="8"/>
      <c r="J23" s="75"/>
    </row>
    <row r="24" spans="2:11" ht="20.25" customHeight="1" x14ac:dyDescent="0.35">
      <c r="B24" s="6"/>
      <c r="C24" s="71" t="s">
        <v>107</v>
      </c>
      <c r="D24" s="13">
        <f>SUM(D22:D23)</f>
        <v>919.72321667970243</v>
      </c>
      <c r="E24" s="13">
        <f>SUM(E22:E23)</f>
        <v>1046.4764694624973</v>
      </c>
      <c r="F24" s="19">
        <f>E24-D24</f>
        <v>126.7532527827949</v>
      </c>
      <c r="G24" s="19">
        <f>F24/52</f>
        <v>2.4375625535152867</v>
      </c>
      <c r="H24" s="7"/>
      <c r="I24" s="8"/>
      <c r="J24" s="75"/>
    </row>
    <row r="25" spans="2:11" x14ac:dyDescent="0.35">
      <c r="B25" s="6"/>
      <c r="C25" s="7"/>
      <c r="D25" s="7"/>
      <c r="E25" s="7"/>
      <c r="F25" s="7"/>
      <c r="G25" s="7"/>
      <c r="H25" s="7"/>
      <c r="I25" s="8"/>
      <c r="J25" s="75"/>
    </row>
    <row r="26" spans="2:11" x14ac:dyDescent="0.35">
      <c r="B26" s="6"/>
      <c r="C26" s="7" t="s">
        <v>96</v>
      </c>
      <c r="D26" s="7"/>
      <c r="E26" s="7"/>
      <c r="F26" s="7"/>
      <c r="G26" s="7"/>
      <c r="H26" s="7"/>
      <c r="I26" s="8"/>
      <c r="J26" s="75"/>
    </row>
    <row r="27" spans="2:11" ht="29.25" customHeight="1" x14ac:dyDescent="0.35">
      <c r="B27" s="6"/>
      <c r="C27" s="78" t="s">
        <v>76</v>
      </c>
      <c r="D27" s="78" t="s">
        <v>75</v>
      </c>
      <c r="E27" s="80" t="s">
        <v>81</v>
      </c>
      <c r="F27" s="81"/>
      <c r="G27" s="82"/>
      <c r="H27" s="12"/>
      <c r="I27" s="8"/>
      <c r="J27" s="75"/>
    </row>
    <row r="28" spans="2:11" ht="43.5" x14ac:dyDescent="0.35">
      <c r="B28" s="6"/>
      <c r="C28" s="79"/>
      <c r="D28" s="79"/>
      <c r="E28" s="72" t="s">
        <v>92</v>
      </c>
      <c r="F28" s="72" t="s">
        <v>93</v>
      </c>
      <c r="G28" s="70" t="s">
        <v>82</v>
      </c>
      <c r="H28" s="7"/>
      <c r="I28" s="8"/>
      <c r="J28" s="75"/>
    </row>
    <row r="29" spans="2:11" ht="29" x14ac:dyDescent="0.35">
      <c r="B29" s="6"/>
      <c r="C29" s="71" t="s">
        <v>84</v>
      </c>
      <c r="D29" s="13">
        <f>D15</f>
        <v>627.79999999999995</v>
      </c>
      <c r="E29" s="13">
        <f>E15</f>
        <v>759.72321667970243</v>
      </c>
      <c r="F29" s="19">
        <f>E22</f>
        <v>886.47646946249745</v>
      </c>
      <c r="G29" s="19">
        <f>F17</f>
        <v>131.92321667970248</v>
      </c>
      <c r="H29" s="7"/>
      <c r="I29" s="8"/>
      <c r="J29" s="75"/>
    </row>
    <row r="30" spans="2:11" ht="20.25" customHeight="1" x14ac:dyDescent="0.35">
      <c r="B30" s="6"/>
      <c r="C30" s="71" t="s">
        <v>25</v>
      </c>
      <c r="D30" s="13">
        <f>D16</f>
        <v>160</v>
      </c>
      <c r="E30" s="13">
        <f>E16</f>
        <v>160</v>
      </c>
      <c r="F30" s="19">
        <f>E23</f>
        <v>160</v>
      </c>
      <c r="G30" s="19">
        <f>F24</f>
        <v>126.7532527827949</v>
      </c>
      <c r="H30" s="7"/>
      <c r="I30" s="8"/>
      <c r="J30" s="75"/>
    </row>
    <row r="31" spans="2:11" ht="20.25" customHeight="1" x14ac:dyDescent="0.35">
      <c r="B31" s="6"/>
      <c r="C31" s="71" t="s">
        <v>107</v>
      </c>
      <c r="D31" s="13">
        <f>SUM(D29:D30)</f>
        <v>787.8</v>
      </c>
      <c r="E31" s="13">
        <f>SUM(E29:E30)</f>
        <v>919.72321667970243</v>
      </c>
      <c r="F31" s="13">
        <f t="shared" ref="F31:G31" si="0">SUM(F29:F30)</f>
        <v>1046.4764694624973</v>
      </c>
      <c r="G31" s="13">
        <f t="shared" si="0"/>
        <v>258.67646946249738</v>
      </c>
      <c r="H31" s="7"/>
      <c r="I31" s="8"/>
      <c r="J31" s="75"/>
    </row>
    <row r="32" spans="2:11" x14ac:dyDescent="0.35">
      <c r="B32" s="6"/>
      <c r="C32" s="7"/>
      <c r="D32" s="7"/>
      <c r="E32" s="7"/>
      <c r="F32" s="7"/>
      <c r="G32" s="7"/>
      <c r="H32" s="7"/>
      <c r="I32" s="8"/>
      <c r="J32" s="75"/>
    </row>
    <row r="33" spans="1:10" ht="15" hidden="1" customHeight="1" x14ac:dyDescent="0.35">
      <c r="B33" s="6" t="str">
        <f>A34</f>
        <v>Residential Tamworth</v>
      </c>
      <c r="C33" s="7"/>
      <c r="D33" s="7"/>
      <c r="E33" s="7"/>
      <c r="F33" s="7"/>
      <c r="G33" s="7"/>
      <c r="H33" s="7"/>
      <c r="I33" s="8"/>
      <c r="J33" s="75"/>
    </row>
    <row r="34" spans="1:10" ht="60" hidden="1" customHeight="1" x14ac:dyDescent="0.35">
      <c r="A34" s="1" t="str">
        <f>IF(F6="Farmland","Farmland",CONCATENATE(F6," ",F8))</f>
        <v>Residential Tamworth</v>
      </c>
      <c r="B34" s="6"/>
      <c r="C34" s="20" t="s">
        <v>20</v>
      </c>
      <c r="D34" s="20" t="s">
        <v>19</v>
      </c>
      <c r="E34" s="20" t="s">
        <v>97</v>
      </c>
      <c r="F34" s="20" t="s">
        <v>98</v>
      </c>
      <c r="G34" s="20" t="s">
        <v>99</v>
      </c>
      <c r="H34" s="20" t="s">
        <v>100</v>
      </c>
      <c r="I34" s="8"/>
      <c r="J34" s="75"/>
    </row>
    <row r="35" spans="1:10" ht="15" hidden="1" customHeight="1" x14ac:dyDescent="0.35">
      <c r="A35" s="14" t="s">
        <v>4</v>
      </c>
      <c r="B35" s="15"/>
      <c r="C35" s="22">
        <f>$F$10*('Working Paper'!E6)/100</f>
        <v>627.79999999999995</v>
      </c>
      <c r="D35" s="21">
        <f>'Working Paper'!F6</f>
        <v>160</v>
      </c>
      <c r="E35" s="22">
        <f>($F$10*('Working Paper'!M6/100))</f>
        <v>759.72321667970243</v>
      </c>
      <c r="F35" s="21">
        <f>'Working Paper'!N6</f>
        <v>160</v>
      </c>
      <c r="G35" s="22">
        <f>($F$10*('Working Paper'!M45/100))</f>
        <v>886.47646946249745</v>
      </c>
      <c r="H35" s="21">
        <f>'Working Paper'!N45</f>
        <v>160</v>
      </c>
      <c r="I35" s="8"/>
      <c r="J35" s="75"/>
    </row>
    <row r="36" spans="1:10" ht="15" hidden="1" customHeight="1" x14ac:dyDescent="0.35">
      <c r="A36" s="14" t="s">
        <v>5</v>
      </c>
      <c r="B36" s="15"/>
      <c r="C36" s="22">
        <f>$F$10*('Working Paper'!E9)/100</f>
        <v>1775.4589999999998</v>
      </c>
      <c r="D36" s="21">
        <f>'Working Paper'!F9</f>
        <v>160</v>
      </c>
      <c r="E36" s="22">
        <f>($F$10*('Working Paper'!M9/100))</f>
        <v>2216.4189150000002</v>
      </c>
      <c r="F36" s="21">
        <f>'Working Paper'!N9</f>
        <v>160</v>
      </c>
      <c r="G36" s="22">
        <f>($F$10*('Working Paper'!M48/100))</f>
        <v>2640.0979684662166</v>
      </c>
      <c r="H36" s="21">
        <f>'Working Paper'!N48</f>
        <v>160</v>
      </c>
      <c r="I36" s="8"/>
      <c r="J36" s="75"/>
    </row>
    <row r="37" spans="1:10" ht="15" hidden="1" customHeight="1" x14ac:dyDescent="0.35">
      <c r="A37" s="14" t="s">
        <v>6</v>
      </c>
      <c r="B37" s="15"/>
      <c r="C37" s="22">
        <f>$F$10*('Working Paper'!E10)/100</f>
        <v>574.67700000000002</v>
      </c>
      <c r="D37" s="21">
        <f>'Working Paper'!F10</f>
        <v>160</v>
      </c>
      <c r="E37" s="22">
        <f>($F$10*('Working Paper'!M10/100))</f>
        <v>718.17747251733022</v>
      </c>
      <c r="F37" s="21">
        <f>'Working Paper'!N10</f>
        <v>160</v>
      </c>
      <c r="G37" s="22">
        <f>($F$10*('Working Paper'!M49/100))</f>
        <v>856.05427786844075</v>
      </c>
      <c r="H37" s="21">
        <f>'Working Paper'!N49</f>
        <v>160</v>
      </c>
      <c r="I37" s="8"/>
      <c r="J37" s="75"/>
    </row>
    <row r="38" spans="1:10" ht="15" hidden="1" customHeight="1" x14ac:dyDescent="0.35">
      <c r="A38" s="14" t="s">
        <v>7</v>
      </c>
      <c r="B38" s="15"/>
      <c r="C38" s="22">
        <f>$F$10*('Working Paper'!E11)/100</f>
        <v>269.43200000000002</v>
      </c>
      <c r="D38" s="21">
        <f>'Working Paper'!F11</f>
        <v>160</v>
      </c>
      <c r="E38" s="22">
        <f>($F$10*('Working Paper'!M11/100))</f>
        <v>341.69435813699528</v>
      </c>
      <c r="F38" s="21">
        <f>'Working Paper'!N11</f>
        <v>160</v>
      </c>
      <c r="G38" s="22">
        <f>($F$10*('Working Paper'!M50/100))</f>
        <v>411.12481304970288</v>
      </c>
      <c r="H38" s="21">
        <f>'Working Paper'!N50</f>
        <v>160</v>
      </c>
      <c r="I38" s="8"/>
      <c r="J38" s="75"/>
    </row>
    <row r="39" spans="1:10" ht="15" hidden="1" customHeight="1" x14ac:dyDescent="0.35">
      <c r="A39" s="14" t="s">
        <v>8</v>
      </c>
      <c r="B39" s="15"/>
      <c r="C39" s="22">
        <f>$F$10*('Working Paper'!E13)/100</f>
        <v>513.63800000000003</v>
      </c>
      <c r="D39" s="21">
        <f>'Working Paper'!F13</f>
        <v>160</v>
      </c>
      <c r="E39" s="22">
        <f>($F$10*('Working Paper'!M13/100))</f>
        <v>642.97021553945717</v>
      </c>
      <c r="F39" s="21">
        <f>'Working Paper'!N13</f>
        <v>160</v>
      </c>
      <c r="G39" s="22">
        <f>($F$10*('Working Paper'!M52/100))</f>
        <v>767.23400641588137</v>
      </c>
      <c r="H39" s="21">
        <f>'Working Paper'!N52</f>
        <v>160</v>
      </c>
      <c r="I39" s="8"/>
      <c r="J39" s="75"/>
    </row>
    <row r="40" spans="1:10" ht="15" hidden="1" customHeight="1" x14ac:dyDescent="0.35">
      <c r="A40" s="14" t="s">
        <v>2</v>
      </c>
      <c r="B40" s="15"/>
      <c r="C40" s="22">
        <f>$F$10*('Working Paper'!E14)/100</f>
        <v>274.37499999999994</v>
      </c>
      <c r="D40" s="21">
        <f>'Working Paper'!F14</f>
        <v>160</v>
      </c>
      <c r="E40" s="22">
        <f>($F$10*('Working Paper'!M14/100))</f>
        <v>335.75887494199361</v>
      </c>
      <c r="F40" s="21">
        <f>'Working Paper'!N14</f>
        <v>160</v>
      </c>
      <c r="G40" s="22">
        <f>($F$10*('Working Paper'!M53/100))</f>
        <v>394.73716559572</v>
      </c>
      <c r="H40" s="21">
        <f>'Working Paper'!N53</f>
        <v>160</v>
      </c>
      <c r="I40" s="8"/>
      <c r="J40" s="75"/>
    </row>
    <row r="41" spans="1:10" ht="15" hidden="1" customHeight="1" x14ac:dyDescent="0.35">
      <c r="A41" s="14" t="s">
        <v>9</v>
      </c>
      <c r="B41" s="15"/>
      <c r="C41" s="22">
        <f>$F$10*('Working Paper'!E18)/100</f>
        <v>994.70800000000008</v>
      </c>
      <c r="D41" s="21">
        <f>'Working Paper'!F18</f>
        <v>160</v>
      </c>
      <c r="E41" s="22">
        <f>($F$10*('Working Paper'!M18/100))</f>
        <v>1185.1554071492365</v>
      </c>
      <c r="F41" s="21">
        <f>'Working Paper'!N18</f>
        <v>160</v>
      </c>
      <c r="G41" s="22">
        <f>($F$10*('Working Paper'!M57/100))</f>
        <v>1368.139334829111</v>
      </c>
      <c r="H41" s="21">
        <f>'Working Paper'!N57</f>
        <v>160</v>
      </c>
      <c r="I41" s="8"/>
      <c r="J41" s="75"/>
    </row>
    <row r="42" spans="1:10" ht="15" hidden="1" customHeight="1" x14ac:dyDescent="0.35">
      <c r="A42" s="14" t="s">
        <v>10</v>
      </c>
      <c r="B42" s="15"/>
      <c r="C42" s="22">
        <f>$F$10*('Working Paper'!E21)/100</f>
        <v>2854.817</v>
      </c>
      <c r="D42" s="21">
        <f>'Working Paper'!F21</f>
        <v>160</v>
      </c>
      <c r="E42" s="22">
        <f>($F$10*('Working Paper'!M21/100))</f>
        <v>3471.7888656242162</v>
      </c>
      <c r="F42" s="21">
        <f>'Working Paper'!N21</f>
        <v>160</v>
      </c>
      <c r="G42" s="22">
        <f>($F$10*('Working Paper'!M60/100))</f>
        <v>4064.5821040820774</v>
      </c>
      <c r="H42" s="21">
        <f>'Working Paper'!N60</f>
        <v>160</v>
      </c>
      <c r="I42" s="8"/>
      <c r="J42" s="75"/>
    </row>
    <row r="43" spans="1:10" ht="15" hidden="1" customHeight="1" x14ac:dyDescent="0.35">
      <c r="A43" s="14" t="s">
        <v>11</v>
      </c>
      <c r="B43" s="15"/>
      <c r="C43" s="22">
        <f>$F$10*('Working Paper'!E22)/100</f>
        <v>1886.0829999999999</v>
      </c>
      <c r="D43" s="21">
        <f>'Working Paper'!F22</f>
        <v>160</v>
      </c>
      <c r="E43" s="22">
        <f>($F$10*('Working Paper'!M22/100))</f>
        <v>2273.6473108344335</v>
      </c>
      <c r="F43" s="21">
        <f>'Working Paper'!N22</f>
        <v>160</v>
      </c>
      <c r="G43" s="22">
        <f>($F$10*('Working Paper'!M61/100))</f>
        <v>2646.0232905685984</v>
      </c>
      <c r="H43" s="21">
        <f>'Working Paper'!N61</f>
        <v>160</v>
      </c>
      <c r="I43" s="8"/>
      <c r="J43" s="75"/>
    </row>
    <row r="44" spans="1:10" ht="15" hidden="1" customHeight="1" x14ac:dyDescent="0.35">
      <c r="A44" s="14" t="s">
        <v>12</v>
      </c>
      <c r="B44" s="15"/>
      <c r="C44" s="22">
        <f>$F$10*('Working Paper'!E23)/100</f>
        <v>410.44699999999995</v>
      </c>
      <c r="D44" s="21">
        <f>'Working Paper'!F23</f>
        <v>160</v>
      </c>
      <c r="E44" s="22">
        <f>($F$10*('Working Paper'!M23/100))</f>
        <v>502.33791250484359</v>
      </c>
      <c r="F44" s="21">
        <f>'Working Paper'!N23</f>
        <v>160</v>
      </c>
      <c r="G44" s="22">
        <f>($F$10*('Working Paper'!M62/100))</f>
        <v>590.62769465476777</v>
      </c>
      <c r="H44" s="21">
        <f>'Working Paper'!N62</f>
        <v>160</v>
      </c>
      <c r="I44" s="8"/>
      <c r="J44" s="75"/>
    </row>
    <row r="45" spans="1:10" ht="15" hidden="1" customHeight="1" x14ac:dyDescent="0.35">
      <c r="A45" s="14" t="s">
        <v>13</v>
      </c>
      <c r="B45" s="15"/>
      <c r="C45" s="22">
        <f>$F$10*('Working Paper'!E25)/100</f>
        <v>597.31500000000005</v>
      </c>
      <c r="D45" s="21">
        <f>'Working Paper'!F25</f>
        <v>160</v>
      </c>
      <c r="E45" s="22">
        <f>($F$10*('Working Paper'!M25/100))</f>
        <v>745.69284488224707</v>
      </c>
      <c r="F45" s="21">
        <f>'Working Paper'!N25</f>
        <v>160</v>
      </c>
      <c r="G45" s="22">
        <f>($F$10*('Working Paper'!M64/100))</f>
        <v>888.2558823299197</v>
      </c>
      <c r="H45" s="21">
        <f>'Working Paper'!N64</f>
        <v>160</v>
      </c>
      <c r="I45" s="8"/>
      <c r="J45" s="75"/>
    </row>
    <row r="46" spans="1:10" ht="15" hidden="1" customHeight="1" x14ac:dyDescent="0.35">
      <c r="A46" s="14" t="s">
        <v>3</v>
      </c>
      <c r="B46" s="15"/>
      <c r="C46" s="22">
        <f>$F$10*('Working Paper'!E26)/100</f>
        <v>712.95699999999999</v>
      </c>
      <c r="D46" s="21">
        <f>'Working Paper'!F26</f>
        <v>160</v>
      </c>
      <c r="E46" s="22">
        <f>($F$10*('Working Paper'!M26/100))</f>
        <v>883.11300386515643</v>
      </c>
      <c r="F46" s="21">
        <f>'Working Paper'!N26</f>
        <v>160</v>
      </c>
      <c r="G46" s="22">
        <f>($F$10*('Working Paper'!M65/100))</f>
        <v>1046.6007319031648</v>
      </c>
      <c r="H46" s="21">
        <f>'Working Paper'!N65</f>
        <v>160</v>
      </c>
      <c r="I46" s="8"/>
      <c r="J46" s="75"/>
    </row>
    <row r="47" spans="1:10" ht="15" hidden="1" customHeight="1" x14ac:dyDescent="0.35">
      <c r="A47" s="14" t="s">
        <v>1</v>
      </c>
      <c r="B47" s="15"/>
      <c r="C47" s="22">
        <f>$F$10*('Working Paper'!E30)/100</f>
        <v>142.47799999999998</v>
      </c>
      <c r="D47" s="21">
        <f>'Working Paper'!F30</f>
        <v>160</v>
      </c>
      <c r="E47" s="22">
        <f>($F$10*('Working Paper'!M30/100))</f>
        <v>170.95787426928896</v>
      </c>
      <c r="F47" s="21">
        <f>'Working Paper'!N30</f>
        <v>160</v>
      </c>
      <c r="G47" s="22">
        <f>($F$10*('Working Paper'!M69/100))</f>
        <v>198.32164535775442</v>
      </c>
      <c r="H47" s="21">
        <f>'Working Paper'!N69</f>
        <v>160</v>
      </c>
      <c r="I47" s="8"/>
      <c r="J47" s="75"/>
    </row>
    <row r="48" spans="1:10" ht="15" hidden="1" customHeight="1" x14ac:dyDescent="0.35">
      <c r="B48" s="6"/>
      <c r="C48" s="7"/>
      <c r="D48" s="7"/>
      <c r="E48" s="7"/>
      <c r="F48" s="7"/>
      <c r="G48" s="7"/>
      <c r="H48" s="7"/>
      <c r="I48" s="8"/>
      <c r="J48" s="75"/>
    </row>
    <row r="49" spans="2:10" ht="30" customHeight="1" x14ac:dyDescent="0.35">
      <c r="B49" s="6"/>
      <c r="C49" s="76" t="s">
        <v>104</v>
      </c>
      <c r="D49" s="76"/>
      <c r="E49" s="76"/>
      <c r="F49" s="76"/>
      <c r="G49" s="76"/>
      <c r="H49" s="76"/>
      <c r="I49" s="8"/>
      <c r="J49" s="75"/>
    </row>
    <row r="50" spans="2:10" ht="15" thickBot="1" x14ac:dyDescent="0.4">
      <c r="B50" s="16"/>
      <c r="C50" s="17"/>
      <c r="D50" s="17"/>
      <c r="E50" s="17"/>
      <c r="F50" s="17"/>
      <c r="G50" s="17"/>
      <c r="H50" s="17"/>
      <c r="I50" s="18"/>
      <c r="J50" s="75"/>
    </row>
  </sheetData>
  <sheetProtection algorithmName="SHA-512" hashValue="/ylCViQvf87dH7wXNFEHfEMxR+8nMw3hAPPXyQHwGo1WczQwiuMFgyHXIOudA55v8GcPFu6w+gUgcpMjw2+eEg==" saltValue="7UAOZNT8ws44iSKmQwtAzg==" spinCount="100000" sheet="1" objects="1" scenarios="1"/>
  <protectedRanges>
    <protectedRange sqref="F10 F8 F6" name="Range1"/>
  </protectedRanges>
  <mergeCells count="18">
    <mergeCell ref="E27:G27"/>
    <mergeCell ref="D27:D28"/>
    <mergeCell ref="J2:J5"/>
    <mergeCell ref="J6:J7"/>
    <mergeCell ref="J8:J9"/>
    <mergeCell ref="J10:J50"/>
    <mergeCell ref="C49:H49"/>
    <mergeCell ref="C4:H4"/>
    <mergeCell ref="C13:C14"/>
    <mergeCell ref="D13:D14"/>
    <mergeCell ref="E13:G13"/>
    <mergeCell ref="F6:G6"/>
    <mergeCell ref="F8:G8"/>
    <mergeCell ref="F10:G10"/>
    <mergeCell ref="C20:C21"/>
    <mergeCell ref="D20:D21"/>
    <mergeCell ref="E20:G20"/>
    <mergeCell ref="C27:C28"/>
  </mergeCells>
  <dataValidations count="2">
    <dataValidation type="list" showInputMessage="1" showErrorMessage="1" sqref="F6:G6" xr:uid="{00000000-0002-0000-0000-000000000000}">
      <formula1>"Residential,Business,Farmland"</formula1>
    </dataValidation>
    <dataValidation type="list" allowBlank="1" showInputMessage="1" showErrorMessage="1" sqref="F8:G8" xr:uid="{00000000-0002-0000-0000-000001000000}">
      <formula1>"Tamworth, Barraba, Manilla, Kootingal/Moonbi, Villages, Rate"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E6C1E-3879-4343-817F-2853063BF1F8}">
  <dimension ref="A1:W75"/>
  <sheetViews>
    <sheetView zoomScale="80" zoomScaleNormal="8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6" sqref="A6"/>
    </sheetView>
  </sheetViews>
  <sheetFormatPr defaultColWidth="9.1796875" defaultRowHeight="14.5" x14ac:dyDescent="0.35"/>
  <cols>
    <col min="1" max="1" width="35.1796875" customWidth="1"/>
    <col min="2" max="2" width="13.54296875" bestFit="1" customWidth="1"/>
    <col min="3" max="3" width="16" style="66" customWidth="1"/>
    <col min="4" max="4" width="13.7265625" style="67" customWidth="1"/>
    <col min="5" max="5" width="12.54296875" bestFit="1" customWidth="1"/>
    <col min="6" max="6" width="10.1796875" style="68" bestFit="1" customWidth="1"/>
    <col min="7" max="7" width="7.7265625" style="68" bestFit="1" customWidth="1"/>
    <col min="8" max="8" width="15.7265625" style="68" bestFit="1" customWidth="1"/>
    <col min="9" max="9" width="15" customWidth="1"/>
    <col min="10" max="10" width="11.1796875" customWidth="1"/>
    <col min="11" max="11" width="7.26953125" bestFit="1" customWidth="1"/>
    <col min="12" max="12" width="15" customWidth="1"/>
    <col min="13" max="13" width="13.26953125" customWidth="1"/>
    <col min="14" max="14" width="12.453125" customWidth="1"/>
    <col min="15" max="15" width="10.26953125" bestFit="1" customWidth="1"/>
    <col min="16" max="16" width="13.81640625" bestFit="1" customWidth="1"/>
    <col min="17" max="17" width="15" bestFit="1" customWidth="1"/>
    <col min="18" max="18" width="13.453125" customWidth="1"/>
    <col min="19" max="19" width="10.81640625" bestFit="1" customWidth="1"/>
    <col min="20" max="20" width="10.7265625" bestFit="1" customWidth="1"/>
    <col min="21" max="21" width="10.81640625" bestFit="1" customWidth="1"/>
  </cols>
  <sheetData>
    <row r="1" spans="1:23" ht="18" x14ac:dyDescent="0.4">
      <c r="C1" s="23"/>
      <c r="D1" s="87" t="s">
        <v>69</v>
      </c>
      <c r="E1" s="87"/>
      <c r="F1" s="87"/>
      <c r="G1" s="87"/>
      <c r="H1" s="87"/>
      <c r="J1" s="24"/>
      <c r="K1" s="25">
        <v>0.185</v>
      </c>
      <c r="L1" s="88" t="s">
        <v>83</v>
      </c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</row>
    <row r="2" spans="1:23" s="26" customFormat="1" ht="46.5" x14ac:dyDescent="0.35">
      <c r="A2" s="26" t="s">
        <v>21</v>
      </c>
      <c r="B2" s="27" t="s">
        <v>22</v>
      </c>
      <c r="C2" s="27" t="s">
        <v>70</v>
      </c>
      <c r="D2" s="27" t="s">
        <v>23</v>
      </c>
      <c r="E2" s="26" t="s">
        <v>24</v>
      </c>
      <c r="F2" s="28" t="s">
        <v>25</v>
      </c>
      <c r="G2" s="28" t="s">
        <v>26</v>
      </c>
      <c r="H2" s="28" t="s">
        <v>71</v>
      </c>
      <c r="I2" s="26" t="s">
        <v>72</v>
      </c>
      <c r="J2" s="26" t="s">
        <v>27</v>
      </c>
      <c r="K2" s="29"/>
      <c r="L2" s="27" t="s">
        <v>85</v>
      </c>
      <c r="M2" s="26" t="s">
        <v>24</v>
      </c>
      <c r="N2" s="28" t="s">
        <v>25</v>
      </c>
      <c r="O2" s="28" t="s">
        <v>26</v>
      </c>
      <c r="P2" s="28" t="s">
        <v>28</v>
      </c>
      <c r="Q2" s="26" t="s">
        <v>73</v>
      </c>
      <c r="R2" s="26" t="s">
        <v>29</v>
      </c>
      <c r="S2" s="26" t="s">
        <v>30</v>
      </c>
      <c r="T2" s="26" t="s">
        <v>31</v>
      </c>
      <c r="U2" s="26" t="s">
        <v>29</v>
      </c>
      <c r="V2" s="26" t="s">
        <v>32</v>
      </c>
      <c r="W2" s="26" t="s">
        <v>33</v>
      </c>
    </row>
    <row r="3" spans="1:23" ht="18" x14ac:dyDescent="0.4">
      <c r="A3" s="30" t="s">
        <v>34</v>
      </c>
      <c r="C3" s="23"/>
      <c r="D3" s="31"/>
      <c r="F3" s="32"/>
      <c r="G3" s="32"/>
      <c r="H3" s="32"/>
    </row>
    <row r="4" spans="1:23" ht="15.5" x14ac:dyDescent="0.35">
      <c r="A4" s="33" t="s">
        <v>35</v>
      </c>
      <c r="C4" s="23"/>
      <c r="D4" s="31"/>
      <c r="F4" s="32"/>
      <c r="G4" s="32"/>
      <c r="H4" s="32"/>
      <c r="I4" s="34"/>
      <c r="M4">
        <v>181000</v>
      </c>
    </row>
    <row r="5" spans="1:23" ht="15.5" x14ac:dyDescent="0.35">
      <c r="A5" s="33" t="s">
        <v>17</v>
      </c>
      <c r="C5" s="23"/>
      <c r="D5" s="31"/>
      <c r="F5" s="32"/>
      <c r="G5" s="32"/>
      <c r="H5" s="32"/>
      <c r="I5" s="34"/>
      <c r="M5" s="35"/>
      <c r="N5" s="36"/>
      <c r="O5" s="37"/>
    </row>
    <row r="6" spans="1:23" x14ac:dyDescent="0.35">
      <c r="A6" t="s">
        <v>36</v>
      </c>
      <c r="B6" t="s">
        <v>37</v>
      </c>
      <c r="C6" s="31">
        <v>3437341901</v>
      </c>
      <c r="D6" s="38">
        <v>18325</v>
      </c>
      <c r="E6" s="35">
        <v>0.62780000000000002</v>
      </c>
      <c r="F6" s="39">
        <v>160</v>
      </c>
      <c r="G6" s="40">
        <f>(D6*F6)/H6</f>
        <v>0.1196166761004266</v>
      </c>
      <c r="H6" s="32">
        <f>(C6*(E6/100)+(D6*F6))</f>
        <v>24511632.454478003</v>
      </c>
      <c r="I6" s="34">
        <f>((H6*1)+(H6*$K$1))+($K$2*(C6/$C$35))</f>
        <v>29046284.458556432</v>
      </c>
      <c r="J6" s="34">
        <f>H6/D6</f>
        <v>1337.6061366700137</v>
      </c>
      <c r="L6" s="31">
        <f>C6</f>
        <v>3437341901</v>
      </c>
      <c r="M6" s="35">
        <f>((I6-P6)/L6)*100</f>
        <v>0.75972321667970244</v>
      </c>
      <c r="N6" s="34">
        <f>$N$35</f>
        <v>160</v>
      </c>
      <c r="O6" s="40">
        <f>P6/Q6</f>
        <v>0.10094234270078195</v>
      </c>
      <c r="P6" s="41">
        <f>D6*N6</f>
        <v>2932000</v>
      </c>
      <c r="Q6" s="34">
        <f>(L6*(M6/100))+P6</f>
        <v>29046284.458556432</v>
      </c>
      <c r="R6" s="34">
        <f>Q6-H6</f>
        <v>4534652.0040784292</v>
      </c>
      <c r="S6" s="25">
        <f>ROUND(-(+H6-(Q6))/H6,4)</f>
        <v>0.185</v>
      </c>
      <c r="T6" s="42">
        <f>Q6/D6</f>
        <v>1585.0632719539663</v>
      </c>
      <c r="U6" s="42">
        <f>T6-J6</f>
        <v>247.45713528395254</v>
      </c>
      <c r="V6" s="43">
        <f>D6/$D$35</f>
        <v>0.63441232473602216</v>
      </c>
      <c r="W6" s="43">
        <f>Q6/$Q$35</f>
        <v>0.57349546533010309</v>
      </c>
    </row>
    <row r="7" spans="1:23" x14ac:dyDescent="0.35">
      <c r="C7"/>
      <c r="D7" s="31"/>
      <c r="E7" s="35"/>
      <c r="F7" s="34"/>
      <c r="G7" s="32"/>
      <c r="H7" s="32"/>
      <c r="I7" s="34"/>
      <c r="J7" s="34"/>
      <c r="M7" s="36">
        <f>M4*(M6/100)</f>
        <v>1375.0990221902614</v>
      </c>
      <c r="N7" s="34"/>
      <c r="O7" s="40"/>
      <c r="P7" s="34"/>
      <c r="Q7" s="34"/>
      <c r="R7" s="34"/>
      <c r="S7" s="25"/>
      <c r="T7" s="42"/>
      <c r="U7" s="42"/>
    </row>
    <row r="8" spans="1:23" x14ac:dyDescent="0.35">
      <c r="A8" s="44" t="s">
        <v>38</v>
      </c>
      <c r="C8"/>
      <c r="D8" s="31"/>
      <c r="E8" s="35"/>
      <c r="F8" s="34"/>
      <c r="G8" s="32"/>
      <c r="H8" s="32"/>
      <c r="I8" s="34"/>
      <c r="J8" s="34"/>
      <c r="M8" s="35"/>
      <c r="N8" s="34"/>
      <c r="O8" s="40"/>
      <c r="P8" s="34"/>
      <c r="Q8" s="34"/>
      <c r="R8" s="34"/>
      <c r="S8" s="25"/>
      <c r="T8" s="42"/>
      <c r="U8" s="42"/>
    </row>
    <row r="9" spans="1:23" x14ac:dyDescent="0.35">
      <c r="A9" t="s">
        <v>39</v>
      </c>
      <c r="B9" t="s">
        <v>40</v>
      </c>
      <c r="C9" s="31">
        <v>16812800</v>
      </c>
      <c r="D9" s="31">
        <v>639</v>
      </c>
      <c r="E9" s="35">
        <v>1.7754589999999999</v>
      </c>
      <c r="F9" s="34">
        <f>$F$6</f>
        <v>160</v>
      </c>
      <c r="G9" s="40">
        <f>(D9*F9)/H9</f>
        <v>0.2551252306006091</v>
      </c>
      <c r="H9" s="32">
        <f>(C9*(E9/100)+(D9*F9))</f>
        <v>400744.37075200002</v>
      </c>
      <c r="I9" s="34">
        <f>((H9*1)+(H9*$K$1))+($K$2*(C9/$C$35))</f>
        <v>474882.07934112003</v>
      </c>
      <c r="J9" s="34">
        <f>H9/D9</f>
        <v>627.14299022222224</v>
      </c>
      <c r="L9" s="31">
        <f>C9</f>
        <v>16812800</v>
      </c>
      <c r="M9" s="35">
        <f>((I9-P9)/L9)*100</f>
        <v>2.2164189150000002</v>
      </c>
      <c r="N9" s="34">
        <f>$N$35</f>
        <v>160</v>
      </c>
      <c r="O9" s="40">
        <f>P9/Q9</f>
        <v>0.21529555324945918</v>
      </c>
      <c r="P9" s="41">
        <f>D9*N9</f>
        <v>102240</v>
      </c>
      <c r="Q9" s="34">
        <f>(L9*(M9/100))+P9</f>
        <v>474882.07934112003</v>
      </c>
      <c r="R9" s="34">
        <f>Q9-H9</f>
        <v>74137.708589120011</v>
      </c>
      <c r="S9" s="25">
        <f>ROUND(-(+H9-Q9)/H9,4)</f>
        <v>0.185</v>
      </c>
      <c r="T9" s="42">
        <f>Q9/D9</f>
        <v>743.1644434133334</v>
      </c>
      <c r="U9" s="42">
        <f>T9-J9</f>
        <v>116.02145319111116</v>
      </c>
      <c r="V9" s="43">
        <f>D9/$D$35</f>
        <v>2.2122208758871387E-2</v>
      </c>
      <c r="W9" s="43">
        <f>Q9/$Q$35</f>
        <v>9.3761637381622499E-3</v>
      </c>
    </row>
    <row r="10" spans="1:23" x14ac:dyDescent="0.35">
      <c r="A10" t="s">
        <v>41</v>
      </c>
      <c r="B10" t="s">
        <v>42</v>
      </c>
      <c r="C10" s="31">
        <v>79442300</v>
      </c>
      <c r="D10" s="31">
        <v>998</v>
      </c>
      <c r="E10" s="35">
        <v>0.57467699999999999</v>
      </c>
      <c r="F10" s="34">
        <f>$F$6</f>
        <v>160</v>
      </c>
      <c r="G10" s="40">
        <f>(D10*F10)/H10</f>
        <v>0.25912965208417293</v>
      </c>
      <c r="H10" s="32">
        <f>(C10*(E10/100)+(D10*F10))</f>
        <v>616216.62637099996</v>
      </c>
      <c r="I10" s="34">
        <f>((H10*1)+(H10*$K$1))+($K$2*(C10/$C$35))</f>
        <v>730216.70224963501</v>
      </c>
      <c r="J10" s="34">
        <f>H10/D10</f>
        <v>617.45152942985965</v>
      </c>
      <c r="L10" s="31">
        <f>C10</f>
        <v>79442300</v>
      </c>
      <c r="M10" s="35">
        <f>((I10-P10)/L10)*100</f>
        <v>0.71817747251733022</v>
      </c>
      <c r="N10" s="34">
        <f>$N$35</f>
        <v>160</v>
      </c>
      <c r="O10" s="40">
        <f>P10/Q10</f>
        <v>0.21867481188537799</v>
      </c>
      <c r="P10" s="41">
        <f>D10*N10</f>
        <v>159680</v>
      </c>
      <c r="Q10" s="34">
        <f>(L10*(M10/100))+P10</f>
        <v>730216.70224963501</v>
      </c>
      <c r="R10" s="34">
        <f>Q10-H10</f>
        <v>114000.07587863505</v>
      </c>
      <c r="S10" s="25">
        <f>ROUND(-(+H10-Q10)/H10,4)</f>
        <v>0.185</v>
      </c>
      <c r="T10" s="42">
        <f>Q10/D10</f>
        <v>731.68006237438374</v>
      </c>
      <c r="U10" s="42">
        <f>T10-J10</f>
        <v>114.22853294452409</v>
      </c>
      <c r="V10" s="43">
        <f>D10/$D$35</f>
        <v>3.4550804916046389E-2</v>
      </c>
      <c r="W10" s="43">
        <f>Q10/$Q$35</f>
        <v>1.4417539979889064E-2</v>
      </c>
    </row>
    <row r="11" spans="1:23" x14ac:dyDescent="0.35">
      <c r="A11" t="s">
        <v>43</v>
      </c>
      <c r="B11" t="s">
        <v>44</v>
      </c>
      <c r="C11" s="31">
        <v>120948700</v>
      </c>
      <c r="D11" s="31">
        <v>916</v>
      </c>
      <c r="E11" s="35">
        <v>0.269432</v>
      </c>
      <c r="F11" s="34">
        <f>$F$6</f>
        <v>160</v>
      </c>
      <c r="G11" s="40">
        <f>(D11*F11)/H11</f>
        <v>0.31022289771524203</v>
      </c>
      <c r="H11" s="32">
        <f>(C11*(E11/100)+(D11*F11))</f>
        <v>472434.501384</v>
      </c>
      <c r="I11" s="34">
        <f>((H11*1)+(H11*$K$1))+($K$2*(C11/$C$35))</f>
        <v>559834.88414004003</v>
      </c>
      <c r="J11" s="34">
        <f>H11/D11</f>
        <v>515.75818928384285</v>
      </c>
      <c r="L11" s="31">
        <f>C11</f>
        <v>120948700</v>
      </c>
      <c r="M11" s="35">
        <f>((I11-P11)/L11)*100</f>
        <v>0.34169435813699528</v>
      </c>
      <c r="N11" s="34">
        <f>$N$35</f>
        <v>160</v>
      </c>
      <c r="O11" s="40">
        <f>P11/Q11</f>
        <v>0.26179147486518312</v>
      </c>
      <c r="P11" s="41">
        <f>D11*N11</f>
        <v>146560</v>
      </c>
      <c r="Q11" s="34">
        <f>(L11*(M11/100))+P11</f>
        <v>559834.88414004003</v>
      </c>
      <c r="R11" s="34">
        <f>Q11-H11</f>
        <v>87400.382756040024</v>
      </c>
      <c r="S11" s="25">
        <f>ROUND(-(+H11-Q11)/H11,4)</f>
        <v>0.185</v>
      </c>
      <c r="T11" s="42">
        <f>Q11/D11</f>
        <v>611.17345430135379</v>
      </c>
      <c r="U11" s="42">
        <f>T11-J11</f>
        <v>95.415265017510933</v>
      </c>
      <c r="V11" s="43">
        <f>D11/$D$35</f>
        <v>3.1711961225549597E-2</v>
      </c>
      <c r="W11" s="43">
        <f>Q11/$Q$35</f>
        <v>1.1053488367712317E-2</v>
      </c>
    </row>
    <row r="12" spans="1:23" x14ac:dyDescent="0.35">
      <c r="C12"/>
      <c r="D12" s="31"/>
      <c r="E12" s="35"/>
      <c r="F12" s="39"/>
      <c r="G12" s="32"/>
      <c r="H12" s="42"/>
      <c r="I12" s="34"/>
      <c r="J12" s="34"/>
      <c r="M12" s="35"/>
      <c r="N12" s="39"/>
      <c r="O12" s="45"/>
      <c r="P12" s="42"/>
      <c r="Q12" s="34"/>
      <c r="R12" s="34"/>
      <c r="S12" s="25"/>
      <c r="T12" s="42"/>
      <c r="U12" s="42"/>
    </row>
    <row r="13" spans="1:23" x14ac:dyDescent="0.35">
      <c r="A13" t="s">
        <v>45</v>
      </c>
      <c r="B13" t="s">
        <v>46</v>
      </c>
      <c r="C13" s="31">
        <v>35545000</v>
      </c>
      <c r="D13" s="31">
        <v>412</v>
      </c>
      <c r="E13" s="35">
        <v>0.51363800000000004</v>
      </c>
      <c r="F13" s="34">
        <f>$F$6</f>
        <v>160</v>
      </c>
      <c r="G13" s="40">
        <f>(D13*F13)/H13</f>
        <v>0.26527950052003774</v>
      </c>
      <c r="H13" s="32">
        <f>(C13*(E13/100)+(D13*F13))</f>
        <v>248492.62710000001</v>
      </c>
      <c r="I13" s="34">
        <f>((H13*1)+(H13*$K$1))+($K$2*(C13/$C$35))</f>
        <v>294463.76311350003</v>
      </c>
      <c r="J13" s="34">
        <f>H13/D13</f>
        <v>603.13744441747576</v>
      </c>
      <c r="L13" s="31">
        <f>C13</f>
        <v>35545000</v>
      </c>
      <c r="M13" s="35">
        <f>((I13-P13)/L13)*100</f>
        <v>0.6429702155394571</v>
      </c>
      <c r="N13" s="34">
        <f>$N$35</f>
        <v>160</v>
      </c>
      <c r="O13" s="40">
        <f>P13/Q13</f>
        <v>0.22386455740087574</v>
      </c>
      <c r="P13" s="41">
        <f>D13*N13</f>
        <v>65920</v>
      </c>
      <c r="Q13" s="34">
        <f>(L13*(M13/100))+P13</f>
        <v>294463.76311350003</v>
      </c>
      <c r="R13" s="34">
        <f>Q13-H13</f>
        <v>45971.136013500014</v>
      </c>
      <c r="S13" s="25">
        <f>ROUND(-(+H13-Q13)/H13,4)</f>
        <v>0.185</v>
      </c>
      <c r="T13" s="42">
        <f>Q13/D13</f>
        <v>714.71787163470879</v>
      </c>
      <c r="U13" s="42">
        <f>T13-J13</f>
        <v>111.58042721723302</v>
      </c>
      <c r="V13" s="43">
        <f>D13/$D$35</f>
        <v>1.4263458542496105E-2</v>
      </c>
      <c r="W13" s="43">
        <f>Q13/$Q$35</f>
        <v>5.8139495635175214E-3</v>
      </c>
    </row>
    <row r="14" spans="1:23" x14ac:dyDescent="0.35">
      <c r="A14" t="s">
        <v>47</v>
      </c>
      <c r="B14" t="s">
        <v>48</v>
      </c>
      <c r="C14" s="31">
        <v>775347550</v>
      </c>
      <c r="D14" s="31">
        <v>2783</v>
      </c>
      <c r="E14" s="35">
        <v>0.27437499999999998</v>
      </c>
      <c r="F14" s="34">
        <f>$F$6</f>
        <v>160</v>
      </c>
      <c r="G14" s="40">
        <f>(D14*F14)/H14</f>
        <v>0.17308291390912756</v>
      </c>
      <c r="H14" s="32">
        <f>(C14*(E14/100)+(D14*F14))</f>
        <v>2572639.8403124996</v>
      </c>
      <c r="I14" s="34">
        <f>((H14*1)+(H14*$K$1))+($K$2*(C14/$C$35))</f>
        <v>3048578.2107703118</v>
      </c>
      <c r="J14" s="34">
        <f>H14/D14</f>
        <v>924.4124471119294</v>
      </c>
      <c r="L14" s="31">
        <f>C14</f>
        <v>775347550</v>
      </c>
      <c r="M14" s="35">
        <f>((I14-P14)/L14)*100</f>
        <v>0.33575887494199363</v>
      </c>
      <c r="N14" s="34">
        <f>$N$35</f>
        <v>160</v>
      </c>
      <c r="O14" s="40">
        <f>P14/Q14</f>
        <v>0.14606153072500219</v>
      </c>
      <c r="P14" s="41">
        <f>D14*N14</f>
        <v>445280</v>
      </c>
      <c r="Q14" s="34">
        <f>(L14*(M14/100))+P14</f>
        <v>3048578.2107703113</v>
      </c>
      <c r="R14" s="34">
        <f>Q14-H14</f>
        <v>475938.37045781175</v>
      </c>
      <c r="S14" s="25">
        <f>ROUND(-(+H14-Q14)/H14,4)</f>
        <v>0.185</v>
      </c>
      <c r="T14" s="42">
        <f>Q14/D14</f>
        <v>1095.428749827636</v>
      </c>
      <c r="U14" s="42">
        <f>T14-J14</f>
        <v>171.01630271570662</v>
      </c>
      <c r="V14" s="43">
        <f>D14/$D$35</f>
        <v>9.6347585251860823E-2</v>
      </c>
      <c r="W14" s="43">
        <f>Q14/$Q$35</f>
        <v>6.0191718568187003E-2</v>
      </c>
    </row>
    <row r="15" spans="1:23" s="44" customFormat="1" x14ac:dyDescent="0.35">
      <c r="A15" s="44" t="s">
        <v>49</v>
      </c>
      <c r="C15" s="46">
        <f>SUM(C6:C14)</f>
        <v>4465438251</v>
      </c>
      <c r="D15" s="47">
        <f>SUM(D6:D14)</f>
        <v>24073</v>
      </c>
      <c r="E15" s="35"/>
      <c r="F15" s="48"/>
      <c r="G15" s="24"/>
      <c r="H15" s="49">
        <f>SUM(H6:H14)</f>
        <v>28822160.420397501</v>
      </c>
      <c r="I15" s="49">
        <f>SUM(I6:I14)</f>
        <v>34154260.09817104</v>
      </c>
      <c r="J15" s="48"/>
      <c r="L15" s="46">
        <f>SUM(L6:L14)</f>
        <v>4465438251</v>
      </c>
      <c r="M15" s="35"/>
      <c r="N15" s="34"/>
      <c r="O15" s="24"/>
      <c r="P15" s="49">
        <f>SUM(P6:P14)</f>
        <v>3851680</v>
      </c>
      <c r="Q15" s="49">
        <f>SUM(Q6:Q14)</f>
        <v>34154260.09817104</v>
      </c>
      <c r="R15" s="49">
        <f>SUM(R6:R14)</f>
        <v>5332099.6777735371</v>
      </c>
      <c r="S15" s="50"/>
      <c r="T15" s="50"/>
      <c r="U15" s="50"/>
    </row>
    <row r="16" spans="1:23" x14ac:dyDescent="0.35">
      <c r="C16"/>
      <c r="D16" s="31"/>
      <c r="E16" s="35"/>
      <c r="F16" s="34"/>
      <c r="G16" s="32"/>
      <c r="H16" s="32"/>
      <c r="I16" s="34"/>
      <c r="J16" s="34"/>
      <c r="M16" s="35"/>
      <c r="N16" s="34"/>
      <c r="O16" s="34"/>
      <c r="P16" s="34"/>
      <c r="Q16" s="34"/>
      <c r="R16" s="34"/>
      <c r="S16" s="25"/>
      <c r="T16" s="25"/>
      <c r="U16" s="25"/>
    </row>
    <row r="17" spans="1:23" ht="18" x14ac:dyDescent="0.4">
      <c r="A17" s="33" t="s">
        <v>50</v>
      </c>
      <c r="C17" s="51"/>
      <c r="D17" s="31"/>
      <c r="E17" s="35"/>
      <c r="F17"/>
      <c r="G17" s="32"/>
      <c r="H17" s="32"/>
      <c r="I17" s="37"/>
      <c r="K17" s="25">
        <f>K1</f>
        <v>0.185</v>
      </c>
      <c r="L17" s="51"/>
      <c r="M17" s="35"/>
    </row>
    <row r="18" spans="1:23" x14ac:dyDescent="0.35">
      <c r="A18" t="s">
        <v>51</v>
      </c>
      <c r="B18" t="s">
        <v>52</v>
      </c>
      <c r="C18" s="31">
        <v>687672932</v>
      </c>
      <c r="D18" s="38">
        <v>1493</v>
      </c>
      <c r="E18" s="35">
        <v>0.99470800000000004</v>
      </c>
      <c r="F18" s="34">
        <f>$F$6</f>
        <v>160</v>
      </c>
      <c r="G18" s="40">
        <f>(D18*F18)/H18</f>
        <v>3.3743841648633609E-2</v>
      </c>
      <c r="H18" s="32">
        <f>(C18*(E18/100)+(D18*F18))</f>
        <v>7079217.6684385603</v>
      </c>
      <c r="I18" s="34">
        <f>((H18*1)+(H18*$K$17))+($K$2*(C18/$C$35))</f>
        <v>8388872.9370996933</v>
      </c>
      <c r="J18" s="34">
        <f>H18/D18</f>
        <v>4741.6059400124313</v>
      </c>
      <c r="L18" s="31">
        <f>C18</f>
        <v>687672932</v>
      </c>
      <c r="M18" s="35">
        <f>((I18-P18)/L18)*100</f>
        <v>1.1851554071492365</v>
      </c>
      <c r="N18" s="34">
        <f>$N$35</f>
        <v>160</v>
      </c>
      <c r="O18" s="40">
        <f>P18/Q18</f>
        <v>2.8475815737243559E-2</v>
      </c>
      <c r="P18" s="41">
        <f>D18*N18</f>
        <v>238880</v>
      </c>
      <c r="Q18" s="34">
        <f>(L18*(M18/100))+P18</f>
        <v>8388872.9370996915</v>
      </c>
      <c r="R18" s="34">
        <f>Q18-H18</f>
        <v>1309655.2686611312</v>
      </c>
      <c r="S18" s="25">
        <f>ROUND(-(+H18-Q18)/H18,4)</f>
        <v>0.185</v>
      </c>
      <c r="T18" s="42">
        <f>Q18/D18</f>
        <v>5618.8030389147298</v>
      </c>
      <c r="U18" s="34">
        <f>T18-J18</f>
        <v>877.19709890229842</v>
      </c>
      <c r="V18" s="43">
        <f>D18/$D$35</f>
        <v>5.1687727194045352E-2</v>
      </c>
      <c r="W18" s="43">
        <f>Q18/$Q$35</f>
        <v>0.16563153182368154</v>
      </c>
    </row>
    <row r="19" spans="1:23" x14ac:dyDescent="0.35">
      <c r="C19"/>
      <c r="D19" s="31"/>
      <c r="E19" s="35"/>
      <c r="F19" s="34"/>
      <c r="G19" s="45"/>
      <c r="H19" s="32"/>
      <c r="I19" s="34"/>
      <c r="J19" s="34"/>
      <c r="M19" s="35"/>
      <c r="N19" s="34"/>
      <c r="O19" s="34"/>
      <c r="P19" s="34"/>
      <c r="Q19" s="34"/>
      <c r="R19" s="34"/>
      <c r="S19" s="25"/>
      <c r="T19" s="42"/>
      <c r="U19" s="34"/>
    </row>
    <row r="20" spans="1:23" x14ac:dyDescent="0.35">
      <c r="A20" s="44" t="s">
        <v>38</v>
      </c>
      <c r="C20"/>
      <c r="D20" s="31"/>
      <c r="E20" s="35"/>
      <c r="F20" s="34"/>
      <c r="G20" s="45"/>
      <c r="H20" s="32"/>
      <c r="I20" s="34"/>
      <c r="J20" s="34"/>
      <c r="M20" s="35"/>
      <c r="N20" s="34"/>
      <c r="O20" s="34"/>
      <c r="P20" s="34"/>
      <c r="Q20" s="34"/>
      <c r="R20" s="34"/>
      <c r="S20" s="25"/>
      <c r="T20" s="42"/>
      <c r="U20" s="34"/>
    </row>
    <row r="21" spans="1:23" x14ac:dyDescent="0.35">
      <c r="A21" t="s">
        <v>53</v>
      </c>
      <c r="B21" t="s">
        <v>54</v>
      </c>
      <c r="C21" s="31">
        <v>2399170</v>
      </c>
      <c r="D21" s="31">
        <v>72</v>
      </c>
      <c r="E21" s="35">
        <v>2.8548170000000002</v>
      </c>
      <c r="F21" s="34">
        <f>$F$6</f>
        <v>160</v>
      </c>
      <c r="G21" s="40">
        <f>(D21*F21)/H21</f>
        <v>0.14397855975870499</v>
      </c>
      <c r="H21" s="32">
        <f>(C21*(E21/100)+(D21*F21))</f>
        <v>80011.913018899999</v>
      </c>
      <c r="I21" s="34">
        <f>((H21*1)+(H21*$K$17))+($K$2*(C21/$C$35))</f>
        <v>94814.116927396506</v>
      </c>
      <c r="J21" s="34">
        <f>H21/D21</f>
        <v>1111.2765697069444</v>
      </c>
      <c r="L21" s="31">
        <f>C21</f>
        <v>2399170</v>
      </c>
      <c r="M21" s="35">
        <f>((I21-P21)/L21)*100</f>
        <v>3.471788865624216</v>
      </c>
      <c r="N21" s="34">
        <f>$N$35</f>
        <v>160</v>
      </c>
      <c r="O21" s="40">
        <f>P21/Q21</f>
        <v>0.12150089431114346</v>
      </c>
      <c r="P21" s="41">
        <f>D21*N21</f>
        <v>11520</v>
      </c>
      <c r="Q21" s="34">
        <f>(L21*(M21/100))+P21</f>
        <v>94814.116927396506</v>
      </c>
      <c r="R21" s="34">
        <f>Q21-H21</f>
        <v>14802.203908496507</v>
      </c>
      <c r="S21" s="25">
        <f>ROUND(-(+H21-Q21)/H21,4)</f>
        <v>0.185</v>
      </c>
      <c r="T21" s="42">
        <f>Q21/D21</f>
        <v>1316.8627351027292</v>
      </c>
      <c r="U21" s="34">
        <f>T21-J21</f>
        <v>205.58616539578475</v>
      </c>
      <c r="V21" s="43">
        <f>D21/$D$35</f>
        <v>2.4926432404362127E-3</v>
      </c>
      <c r="W21" s="43">
        <f>Q21/$Q$35</f>
        <v>1.8720282859146268E-3</v>
      </c>
    </row>
    <row r="22" spans="1:23" x14ac:dyDescent="0.35">
      <c r="A22" t="s">
        <v>55</v>
      </c>
      <c r="B22" t="s">
        <v>56</v>
      </c>
      <c r="C22" s="31">
        <v>6128530</v>
      </c>
      <c r="D22" s="31">
        <v>80</v>
      </c>
      <c r="E22" s="35">
        <v>1.886083</v>
      </c>
      <c r="F22" s="34">
        <f>$F$6</f>
        <v>160</v>
      </c>
      <c r="G22" s="40">
        <f>(D22*F22)/H22</f>
        <v>9.9696888372520595E-2</v>
      </c>
      <c r="H22" s="32">
        <f>(C22*(E22/100)+(D22*F22))</f>
        <v>128389.1624799</v>
      </c>
      <c r="I22" s="34">
        <f>((H22*1)+(H22*$K$17))+($K$2*(C22/$C$35))</f>
        <v>152141.15753868149</v>
      </c>
      <c r="J22" s="34">
        <f>H22/D22</f>
        <v>1604.8645309987501</v>
      </c>
      <c r="L22" s="31">
        <f>C22</f>
        <v>6128530</v>
      </c>
      <c r="M22" s="35">
        <f>((I22-P22)/L22)*100</f>
        <v>2.2736473108344333</v>
      </c>
      <c r="N22" s="34">
        <f>$N$35</f>
        <v>160</v>
      </c>
      <c r="O22" s="40">
        <f>P22/Q22</f>
        <v>8.4132395251072231E-2</v>
      </c>
      <c r="P22" s="41">
        <f>D22*N22</f>
        <v>12800</v>
      </c>
      <c r="Q22" s="34">
        <f>(L22*(M22/100))+P22</f>
        <v>152141.15753868149</v>
      </c>
      <c r="R22" s="34">
        <f>Q22-H22</f>
        <v>23751.995058781496</v>
      </c>
      <c r="S22" s="25">
        <f>ROUND(-(+H22-Q22)/H22,4)</f>
        <v>0.185</v>
      </c>
      <c r="T22" s="42">
        <f>Q22/D22</f>
        <v>1901.7644692335186</v>
      </c>
      <c r="U22" s="34">
        <f>T22-J22</f>
        <v>296.89993823476857</v>
      </c>
      <c r="V22" s="43">
        <f>D22/$D$35</f>
        <v>2.7696036004846805E-3</v>
      </c>
      <c r="W22" s="43">
        <f>Q22/$Q$35</f>
        <v>3.0039044774555997E-3</v>
      </c>
    </row>
    <row r="23" spans="1:23" x14ac:dyDescent="0.35">
      <c r="A23" t="s">
        <v>57</v>
      </c>
      <c r="B23" t="s">
        <v>58</v>
      </c>
      <c r="C23" s="31">
        <v>5935500</v>
      </c>
      <c r="D23" s="31">
        <v>32</v>
      </c>
      <c r="E23" s="35">
        <v>0.41044700000000001</v>
      </c>
      <c r="F23" s="34">
        <f>$F$6</f>
        <v>160</v>
      </c>
      <c r="G23" s="40">
        <f>(D23*F23)/H23</f>
        <v>0.17366480612544305</v>
      </c>
      <c r="H23" s="32">
        <f>(C23*(E23/100)+(D23*F23))</f>
        <v>29482.081684999997</v>
      </c>
      <c r="I23" s="34">
        <f>((H23*1)+(H23*$K$17))+($K$2*(C23/$C$35))</f>
        <v>34936.266796724994</v>
      </c>
      <c r="J23" s="34">
        <f>H23/D23</f>
        <v>921.31505265624992</v>
      </c>
      <c r="L23" s="31">
        <f>C23</f>
        <v>5935500</v>
      </c>
      <c r="M23" s="35">
        <f>((I23-P23)/L23)*100</f>
        <v>0.50233791250484361</v>
      </c>
      <c r="N23" s="34">
        <f>$N$35</f>
        <v>160</v>
      </c>
      <c r="O23" s="40">
        <f>P23/Q23</f>
        <v>0.14655257900881274</v>
      </c>
      <c r="P23" s="41">
        <f>D23*N23</f>
        <v>5120</v>
      </c>
      <c r="Q23" s="34">
        <f>(L23*(M23/100))+P23</f>
        <v>34936.266796724987</v>
      </c>
      <c r="R23" s="34">
        <f>Q23-H23</f>
        <v>5454.1851117249898</v>
      </c>
      <c r="S23" s="25">
        <f>ROUND(-(+H23-Q23)/H23,4)</f>
        <v>0.185</v>
      </c>
      <c r="T23" s="42">
        <f>Q23/D23</f>
        <v>1091.7583373976559</v>
      </c>
      <c r="U23" s="34">
        <f>T23-J23</f>
        <v>170.44328474140593</v>
      </c>
      <c r="V23" s="43">
        <f>D23/$D$35</f>
        <v>1.1078414401938723E-3</v>
      </c>
      <c r="W23" s="43">
        <f>Q23/$Q$35</f>
        <v>6.8978841724392386E-4</v>
      </c>
    </row>
    <row r="24" spans="1:23" x14ac:dyDescent="0.35">
      <c r="C24"/>
      <c r="D24" s="31"/>
      <c r="E24" s="35"/>
      <c r="F24" s="34"/>
      <c r="G24" s="45"/>
      <c r="H24" s="32"/>
      <c r="I24" s="34"/>
      <c r="J24" s="34"/>
      <c r="M24" s="35"/>
      <c r="N24" s="34"/>
      <c r="O24" s="40"/>
      <c r="P24" s="34"/>
      <c r="Q24" s="34"/>
      <c r="R24" s="34"/>
      <c r="S24" s="25"/>
      <c r="T24" s="42"/>
      <c r="U24" s="34"/>
    </row>
    <row r="25" spans="1:23" x14ac:dyDescent="0.35">
      <c r="A25" t="s">
        <v>59</v>
      </c>
      <c r="B25" t="s">
        <v>60</v>
      </c>
      <c r="C25" s="31">
        <v>2891650</v>
      </c>
      <c r="D25" s="31">
        <v>37</v>
      </c>
      <c r="E25" s="35">
        <v>0.59731500000000004</v>
      </c>
      <c r="F25" s="34">
        <f>$F$6</f>
        <v>160</v>
      </c>
      <c r="G25" s="40">
        <f>(D25*F25)/H25</f>
        <v>0.25525758183308611</v>
      </c>
      <c r="H25" s="32">
        <f>(C25*(E25/100)+(D25*F25))</f>
        <v>23192.2591975</v>
      </c>
      <c r="I25" s="34">
        <f>((H25*1)+(H25*$K$17))+($K$2*(C25/$C$35))</f>
        <v>27482.827149037497</v>
      </c>
      <c r="J25" s="34">
        <f>H25/D25</f>
        <v>626.8178161486486</v>
      </c>
      <c r="L25" s="31">
        <f>C25</f>
        <v>2891650</v>
      </c>
      <c r="M25" s="35">
        <f>((I25-P25)/L25)*100</f>
        <v>0.74569284488224707</v>
      </c>
      <c r="N25" s="34">
        <f>$N$35</f>
        <v>160</v>
      </c>
      <c r="O25" s="40">
        <f>P25/Q25</f>
        <v>0.21540724205323725</v>
      </c>
      <c r="P25" s="41">
        <f>D25*N25</f>
        <v>5920</v>
      </c>
      <c r="Q25" s="34">
        <f>(L25*(M25/100))+P25</f>
        <v>27482.827149037497</v>
      </c>
      <c r="R25" s="34">
        <f>Q25-H25</f>
        <v>4290.5679515374977</v>
      </c>
      <c r="S25" s="25">
        <f>ROUND(-(+H25-Q25)/H25,4)</f>
        <v>0.185</v>
      </c>
      <c r="T25" s="42">
        <f>Q25/D25</f>
        <v>742.77911213614857</v>
      </c>
      <c r="U25" s="34">
        <f>T25-J25</f>
        <v>115.96129598749997</v>
      </c>
      <c r="V25" s="43">
        <f>D25/$D$35</f>
        <v>1.2809416652241649E-3</v>
      </c>
      <c r="W25" s="43">
        <f>Q25/$Q$35</f>
        <v>5.4262626143844386E-4</v>
      </c>
    </row>
    <row r="26" spans="1:23" x14ac:dyDescent="0.35">
      <c r="A26" t="s">
        <v>61</v>
      </c>
      <c r="B26" t="s">
        <v>62</v>
      </c>
      <c r="C26" s="31">
        <v>4951520</v>
      </c>
      <c r="D26" s="31">
        <v>64</v>
      </c>
      <c r="E26" s="35">
        <v>0.71295699999999995</v>
      </c>
      <c r="F26" s="34">
        <f>$F$6</f>
        <v>160</v>
      </c>
      <c r="G26" s="40">
        <f>(D26*F26)/H26</f>
        <v>0.224846364489587</v>
      </c>
      <c r="H26" s="32">
        <f>(C26*(E26/100)+(D26*F26))</f>
        <v>45542.208446399993</v>
      </c>
      <c r="I26" s="34">
        <f>((H26*1)+(H26*$K$17))+($K$2*(C26/$C$35))</f>
        <v>53967.517008983996</v>
      </c>
      <c r="J26" s="34">
        <f>H26/D26</f>
        <v>711.59700697499989</v>
      </c>
      <c r="L26" s="31">
        <f>C26</f>
        <v>4951520</v>
      </c>
      <c r="M26" s="35">
        <f>((I26-P26)/L26)*100</f>
        <v>0.88311300386515645</v>
      </c>
      <c r="N26" s="34">
        <f>$N$35</f>
        <v>160</v>
      </c>
      <c r="O26" s="40">
        <f>P26/Q26</f>
        <v>0.18974376750176117</v>
      </c>
      <c r="P26" s="41">
        <f>D26*N26</f>
        <v>10240</v>
      </c>
      <c r="Q26" s="34">
        <f>(L26*(M26/100))+P26</f>
        <v>53967.517008983996</v>
      </c>
      <c r="R26" s="34">
        <f>Q26-H26</f>
        <v>8425.3085625840031</v>
      </c>
      <c r="S26" s="25">
        <f>ROUND(-(+H26-Q26)/H26,4)</f>
        <v>0.185</v>
      </c>
      <c r="T26" s="42">
        <f>Q26/D26</f>
        <v>843.24245326537493</v>
      </c>
      <c r="U26" s="34">
        <f>T26-J26</f>
        <v>131.64544629037505</v>
      </c>
      <c r="V26" s="43">
        <f>D26/$D$35</f>
        <v>2.2156828803877445E-3</v>
      </c>
      <c r="W26" s="43">
        <f>Q26/$Q$35</f>
        <v>1.0655451069460371E-3</v>
      </c>
    </row>
    <row r="27" spans="1:23" s="44" customFormat="1" x14ac:dyDescent="0.35">
      <c r="A27" s="44" t="s">
        <v>63</v>
      </c>
      <c r="C27" s="46">
        <f>SUM(C18:C26)</f>
        <v>709979302</v>
      </c>
      <c r="D27" s="47">
        <f>SUM(D18:D26)</f>
        <v>1778</v>
      </c>
      <c r="E27" s="35"/>
      <c r="F27" s="48"/>
      <c r="G27" s="52"/>
      <c r="H27" s="49">
        <f>SUM(H18:H26)</f>
        <v>7385835.2932662601</v>
      </c>
      <c r="I27" s="49">
        <f>SUM(I18:I26)</f>
        <v>8752214.8225205187</v>
      </c>
      <c r="J27" s="48"/>
      <c r="K27"/>
      <c r="L27" s="46">
        <f>SUM(L18:L26)</f>
        <v>709979302</v>
      </c>
      <c r="M27" s="35"/>
      <c r="N27" s="48"/>
      <c r="O27" s="24"/>
      <c r="P27" s="49">
        <f>SUM(P18:P26)</f>
        <v>284480</v>
      </c>
      <c r="Q27" s="49">
        <f>SUM(Q18:Q26)</f>
        <v>8752214.8225205168</v>
      </c>
      <c r="R27" s="49">
        <f>SUM(R18:R26)</f>
        <v>1366379.5292542556</v>
      </c>
      <c r="S27" s="50"/>
    </row>
    <row r="28" spans="1:23" x14ac:dyDescent="0.35">
      <c r="C28"/>
      <c r="D28" s="31"/>
      <c r="E28" s="35"/>
      <c r="F28" s="34"/>
      <c r="G28" s="45"/>
      <c r="H28" s="32"/>
      <c r="I28" s="34"/>
      <c r="J28" s="34"/>
      <c r="M28" s="35"/>
      <c r="N28" s="34"/>
      <c r="O28" s="34"/>
      <c r="P28" s="34"/>
      <c r="Q28" s="34"/>
      <c r="R28" s="34"/>
      <c r="S28" s="25"/>
    </row>
    <row r="29" spans="1:23" ht="15.5" x14ac:dyDescent="0.35">
      <c r="A29" s="33" t="s">
        <v>1</v>
      </c>
      <c r="C29"/>
      <c r="D29" s="31"/>
      <c r="E29" s="35"/>
      <c r="F29" s="34"/>
      <c r="G29" s="45"/>
      <c r="H29" s="32"/>
      <c r="I29" s="34"/>
      <c r="J29" s="34"/>
      <c r="M29" s="35"/>
      <c r="N29" s="34"/>
      <c r="O29" s="34"/>
      <c r="P29" s="34"/>
      <c r="Q29" s="34"/>
      <c r="R29" s="34"/>
      <c r="S29" s="25"/>
    </row>
    <row r="30" spans="1:23" s="54" customFormat="1" x14ac:dyDescent="0.35">
      <c r="A30" s="53" t="s">
        <v>64</v>
      </c>
      <c r="B30" s="54" t="s">
        <v>65</v>
      </c>
      <c r="C30" s="31">
        <v>4230476440</v>
      </c>
      <c r="D30" s="31">
        <v>3032</v>
      </c>
      <c r="E30" s="35">
        <v>0.14247799999999999</v>
      </c>
      <c r="F30" s="41">
        <f>$F$6</f>
        <v>160</v>
      </c>
      <c r="G30" s="55">
        <f>(D30*F30)/H30</f>
        <v>7.4489242797557254E-2</v>
      </c>
      <c r="H30" s="32">
        <f>(C30*(E30/100)+(D30*F30))</f>
        <v>6512618.2221831996</v>
      </c>
      <c r="I30" s="34">
        <f>((H30*1)+(H30*$K$1))+($K$2*(C30/$C$35))</f>
        <v>7717452.5932870917</v>
      </c>
      <c r="J30" s="34">
        <f>H30/D30</f>
        <v>2147.9611550736145</v>
      </c>
      <c r="K30"/>
      <c r="L30" s="31">
        <f>C30</f>
        <v>4230476440</v>
      </c>
      <c r="M30" s="35">
        <f>((I30-P30)/L30)*100</f>
        <v>0.17095787426928896</v>
      </c>
      <c r="N30" s="34">
        <f>$N$35</f>
        <v>160</v>
      </c>
      <c r="O30" s="55">
        <f>P30/Q30</f>
        <v>6.2860120504267716E-2</v>
      </c>
      <c r="P30" s="41">
        <f>D30*N30</f>
        <v>485120</v>
      </c>
      <c r="Q30" s="34">
        <f>(L30*(M30/100))+P30</f>
        <v>7717452.5932870917</v>
      </c>
      <c r="R30" s="56">
        <f>Q30-H30</f>
        <v>1204834.3711038921</v>
      </c>
      <c r="S30" s="25">
        <f>ROUND(-(+H30-Q30)/H30,4)</f>
        <v>0.185</v>
      </c>
      <c r="T30" s="42">
        <f>Q30/D30</f>
        <v>2545.3339687622333</v>
      </c>
      <c r="U30" s="56">
        <f>T30-J30</f>
        <v>397.37281368861886</v>
      </c>
      <c r="V30" s="43">
        <f>D30/$D$35</f>
        <v>0.1049679764583694</v>
      </c>
      <c r="W30" s="43">
        <f>Q30/$Q$35</f>
        <v>0.15237487853102691</v>
      </c>
    </row>
    <row r="31" spans="1:23" x14ac:dyDescent="0.35">
      <c r="C31" s="57"/>
      <c r="D31" s="31"/>
      <c r="E31" s="35"/>
      <c r="F31" s="25"/>
      <c r="G31" s="40"/>
      <c r="H31" s="32"/>
      <c r="I31" s="34"/>
      <c r="J31" s="34"/>
      <c r="L31" s="57"/>
      <c r="M31" s="35"/>
      <c r="N31" s="25"/>
      <c r="O31" s="39"/>
      <c r="P31" s="32"/>
      <c r="Q31" s="34"/>
      <c r="R31" s="25"/>
      <c r="S31" s="34"/>
      <c r="T31" s="34"/>
    </row>
    <row r="32" spans="1:23" ht="15.5" x14ac:dyDescent="0.35">
      <c r="A32" s="33" t="s">
        <v>66</v>
      </c>
      <c r="C32"/>
      <c r="D32" s="31"/>
      <c r="E32" s="35"/>
      <c r="F32"/>
      <c r="G32" s="32"/>
      <c r="H32" s="32"/>
      <c r="M32" s="35"/>
    </row>
    <row r="33" spans="1:23" x14ac:dyDescent="0.35">
      <c r="A33" t="s">
        <v>66</v>
      </c>
      <c r="B33" t="s">
        <v>67</v>
      </c>
      <c r="C33" s="31">
        <v>968930</v>
      </c>
      <c r="D33" s="31">
        <v>2</v>
      </c>
      <c r="E33" s="35">
        <v>2.0462549999999999</v>
      </c>
      <c r="F33" s="34">
        <f>$F$6</f>
        <v>160</v>
      </c>
      <c r="G33" s="45">
        <f>(D33*F33)/H33</f>
        <v>1.5883432622457956E-2</v>
      </c>
      <c r="H33" s="32">
        <f>(C33*(E33/100)+(D33*F33))</f>
        <v>20146.778571499999</v>
      </c>
      <c r="I33" s="34">
        <f>((H33*1)+(H33*$K$1))+($K$2*(C33/$C$35))</f>
        <v>23873.9326072275</v>
      </c>
      <c r="J33" s="34"/>
      <c r="L33" s="31">
        <f>C33</f>
        <v>968930</v>
      </c>
      <c r="M33" s="35">
        <f>((I33-P33)/L33)*100</f>
        <v>2.4309220074956395</v>
      </c>
      <c r="N33" s="34">
        <f>$N$35</f>
        <v>160</v>
      </c>
      <c r="O33" s="40">
        <f>P33/Q33</f>
        <v>1.3403740609669161E-2</v>
      </c>
      <c r="P33" s="41">
        <f>D33*N33</f>
        <v>320</v>
      </c>
      <c r="Q33" s="34">
        <f>(L33*(M33/100))+P33</f>
        <v>23873.9326072275</v>
      </c>
      <c r="R33" s="34">
        <f>Q33-H33</f>
        <v>3727.1540357275007</v>
      </c>
      <c r="S33" s="25">
        <f>ROUND(-(+H33-Q33)/H33,4)</f>
        <v>0.185</v>
      </c>
      <c r="T33" s="42">
        <f>Q33/D33</f>
        <v>11936.96630361375</v>
      </c>
      <c r="U33" s="34">
        <f>T33-J33</f>
        <v>11936.96630361375</v>
      </c>
      <c r="V33" s="43">
        <f>D33/$D$35</f>
        <v>6.9240090012117017E-5</v>
      </c>
      <c r="W33" s="43">
        <f>Q33/$Q$35</f>
        <v>4.713715487217229E-4</v>
      </c>
    </row>
    <row r="34" spans="1:23" x14ac:dyDescent="0.35">
      <c r="C34" s="31"/>
      <c r="D34" s="31"/>
      <c r="E34" s="58"/>
      <c r="F34" s="32"/>
      <c r="G34" s="45"/>
      <c r="H34" s="32"/>
      <c r="I34" s="34"/>
      <c r="J34" s="34"/>
      <c r="M34" s="35"/>
      <c r="N34" s="34"/>
      <c r="O34" s="40"/>
      <c r="P34" s="34"/>
      <c r="Q34" s="34"/>
      <c r="R34" s="34"/>
      <c r="S34" s="25"/>
      <c r="T34" s="42"/>
      <c r="U34" s="34"/>
    </row>
    <row r="35" spans="1:23" s="44" customFormat="1" ht="13" x14ac:dyDescent="0.3">
      <c r="A35" s="44" t="s">
        <v>68</v>
      </c>
      <c r="B35" s="59"/>
      <c r="C35" s="60">
        <f>C15+C27+C30+C33</f>
        <v>9406862923</v>
      </c>
      <c r="D35" s="61">
        <f>D15+D27+D30+D33</f>
        <v>28885</v>
      </c>
      <c r="E35" s="62"/>
      <c r="F35" s="49"/>
      <c r="G35" s="52"/>
      <c r="H35" s="49">
        <f>H15+H27+H30+H33</f>
        <v>42740760.714418463</v>
      </c>
      <c r="I35" s="49">
        <f>I15+I27+I30+I33</f>
        <v>50647801.446585871</v>
      </c>
      <c r="L35" s="60">
        <f>L15+L27+L30+L33</f>
        <v>9406862923</v>
      </c>
      <c r="N35" s="48">
        <v>160</v>
      </c>
      <c r="P35" s="49">
        <f>P15+P27+P30+P33</f>
        <v>4621600</v>
      </c>
      <c r="Q35" s="49">
        <f>Q15+Q27+Q30+Q33</f>
        <v>50647801.446585871</v>
      </c>
      <c r="R35" s="49">
        <f>R15+R27+R30+R33</f>
        <v>7907040.7321674125</v>
      </c>
      <c r="S35" s="50">
        <f>ROUND(-(+H35-Q35)/H35,4)</f>
        <v>0.185</v>
      </c>
    </row>
    <row r="36" spans="1:23" x14ac:dyDescent="0.35">
      <c r="A36" s="63"/>
      <c r="B36" s="63"/>
      <c r="C36" s="64"/>
      <c r="D36" s="61"/>
      <c r="E36" s="58"/>
      <c r="F36" s="49"/>
      <c r="G36" s="52"/>
      <c r="H36" s="65"/>
      <c r="I36" s="65"/>
      <c r="R36" s="34"/>
      <c r="S36" s="34"/>
      <c r="T36" s="25"/>
    </row>
    <row r="37" spans="1:23" x14ac:dyDescent="0.35">
      <c r="A37" s="63"/>
      <c r="B37" s="63"/>
      <c r="C37" s="64"/>
      <c r="D37" s="61"/>
      <c r="E37" s="58"/>
      <c r="F37" s="49"/>
      <c r="G37" s="52"/>
      <c r="H37" s="65"/>
      <c r="I37" s="65">
        <v>1000000</v>
      </c>
      <c r="Q37" s="37"/>
      <c r="R37" s="34"/>
      <c r="S37" s="34"/>
      <c r="T37" s="25"/>
    </row>
    <row r="40" spans="1:23" ht="18" x14ac:dyDescent="0.4">
      <c r="C40" s="23"/>
      <c r="D40" s="87" t="s">
        <v>83</v>
      </c>
      <c r="E40" s="87"/>
      <c r="F40" s="87"/>
      <c r="G40" s="87"/>
      <c r="H40" s="87"/>
      <c r="I40" s="87"/>
      <c r="J40" s="87"/>
      <c r="K40" s="25">
        <v>0.15</v>
      </c>
      <c r="L40" s="88" t="s">
        <v>89</v>
      </c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</row>
    <row r="41" spans="1:23" s="26" customFormat="1" ht="46.5" x14ac:dyDescent="0.35">
      <c r="A41" s="26" t="s">
        <v>21</v>
      </c>
      <c r="B41" s="27" t="s">
        <v>22</v>
      </c>
      <c r="C41" s="27" t="s">
        <v>85</v>
      </c>
      <c r="D41" s="27" t="s">
        <v>23</v>
      </c>
      <c r="E41" s="26" t="s">
        <v>24</v>
      </c>
      <c r="F41" s="28" t="s">
        <v>25</v>
      </c>
      <c r="G41" s="28" t="s">
        <v>26</v>
      </c>
      <c r="H41" s="28" t="s">
        <v>86</v>
      </c>
      <c r="I41" s="26" t="s">
        <v>87</v>
      </c>
      <c r="J41" s="26" t="s">
        <v>27</v>
      </c>
      <c r="K41" s="29"/>
      <c r="L41" s="27" t="s">
        <v>88</v>
      </c>
      <c r="M41" s="26" t="s">
        <v>24</v>
      </c>
      <c r="N41" s="28" t="s">
        <v>25</v>
      </c>
      <c r="O41" s="28" t="s">
        <v>26</v>
      </c>
      <c r="P41" s="28" t="s">
        <v>28</v>
      </c>
      <c r="Q41" s="26" t="s">
        <v>74</v>
      </c>
      <c r="R41" s="26" t="s">
        <v>29</v>
      </c>
      <c r="S41" s="26" t="s">
        <v>30</v>
      </c>
      <c r="T41" s="26" t="s">
        <v>31</v>
      </c>
      <c r="U41" s="26" t="s">
        <v>29</v>
      </c>
      <c r="V41" s="26" t="s">
        <v>32</v>
      </c>
      <c r="W41" s="26" t="s">
        <v>33</v>
      </c>
    </row>
    <row r="42" spans="1:23" ht="18" x14ac:dyDescent="0.4">
      <c r="A42" s="30" t="s">
        <v>34</v>
      </c>
      <c r="C42" s="23"/>
      <c r="D42" s="31"/>
      <c r="F42" s="32"/>
      <c r="G42" s="32"/>
      <c r="H42" s="32"/>
    </row>
    <row r="43" spans="1:23" ht="15.5" x14ac:dyDescent="0.35">
      <c r="A43" s="33" t="s">
        <v>35</v>
      </c>
      <c r="C43" s="23"/>
      <c r="D43" s="31"/>
      <c r="F43" s="32"/>
      <c r="G43" s="32"/>
      <c r="H43" s="32"/>
      <c r="I43" s="34"/>
    </row>
    <row r="44" spans="1:23" ht="15.5" x14ac:dyDescent="0.35">
      <c r="A44" s="33" t="s">
        <v>17</v>
      </c>
      <c r="C44" s="23"/>
      <c r="D44" s="31"/>
      <c r="F44" s="32"/>
      <c r="G44" s="32"/>
      <c r="H44" s="32"/>
      <c r="I44" s="34"/>
      <c r="M44" s="35"/>
      <c r="N44" s="36"/>
      <c r="O44" s="37"/>
    </row>
    <row r="45" spans="1:23" x14ac:dyDescent="0.35">
      <c r="A45" t="s">
        <v>36</v>
      </c>
      <c r="B45" t="s">
        <v>37</v>
      </c>
      <c r="C45" s="31">
        <f>L6</f>
        <v>3437341901</v>
      </c>
      <c r="D45" s="38">
        <f>D6</f>
        <v>18325</v>
      </c>
      <c r="E45" s="35">
        <f>M6</f>
        <v>0.75972321667970244</v>
      </c>
      <c r="F45" s="39">
        <v>160</v>
      </c>
      <c r="G45" s="40">
        <f>(D45*F45)/H45</f>
        <v>0.10094234270078195</v>
      </c>
      <c r="H45" s="32">
        <f>(C45*(E45/100)+(D45*F45))</f>
        <v>29046284.458556432</v>
      </c>
      <c r="I45" s="34">
        <f>((H45*1)+(H45*$K$40))+($K$41*(C45/$C$35))</f>
        <v>33403227.127339896</v>
      </c>
      <c r="J45" s="34">
        <f>H45/D45</f>
        <v>1585.0632719539663</v>
      </c>
      <c r="L45" s="31">
        <f>C45</f>
        <v>3437341901</v>
      </c>
      <c r="M45" s="35">
        <f>((I45-P45)/L45)*100</f>
        <v>0.88647646946249747</v>
      </c>
      <c r="N45" s="34">
        <f>$N$35</f>
        <v>160</v>
      </c>
      <c r="O45" s="40">
        <f>P45/Q45</f>
        <v>8.7775950174592998E-2</v>
      </c>
      <c r="P45" s="41">
        <f>D45*N45</f>
        <v>2932000</v>
      </c>
      <c r="Q45" s="34">
        <f>(L45*(M45/100))+P45</f>
        <v>33403227.127339896</v>
      </c>
      <c r="R45" s="34">
        <f>Q45-H45</f>
        <v>4356942.6687834635</v>
      </c>
      <c r="S45" s="25">
        <f>ROUND(-(+H45-(Q45))/H45,4)</f>
        <v>0.15</v>
      </c>
      <c r="T45" s="42">
        <f>Q45/D45</f>
        <v>1822.8227627470612</v>
      </c>
      <c r="U45" s="42">
        <f>T45-J45</f>
        <v>237.75949079309498</v>
      </c>
      <c r="V45" s="43">
        <f>D45/$D$35</f>
        <v>0.63441232473602216</v>
      </c>
      <c r="W45" s="43">
        <f>Q45/$Q$35</f>
        <v>0.65951978512961851</v>
      </c>
    </row>
    <row r="46" spans="1:23" x14ac:dyDescent="0.35">
      <c r="C46"/>
      <c r="D46" s="31"/>
      <c r="E46" s="35"/>
      <c r="F46" s="34"/>
      <c r="G46" s="32"/>
      <c r="H46" s="32"/>
      <c r="I46" s="34"/>
      <c r="J46" s="34"/>
      <c r="M46" s="36">
        <f>M4*(M45/100)</f>
        <v>1604.5224097271205</v>
      </c>
      <c r="N46" s="34"/>
      <c r="O46" s="40"/>
      <c r="P46" s="34"/>
      <c r="Q46" s="34"/>
      <c r="R46" s="34"/>
      <c r="S46" s="25"/>
      <c r="T46" s="42"/>
      <c r="U46" s="42"/>
    </row>
    <row r="47" spans="1:23" x14ac:dyDescent="0.35">
      <c r="A47" s="44" t="s">
        <v>38</v>
      </c>
      <c r="C47"/>
      <c r="D47" s="31"/>
      <c r="E47" s="35"/>
      <c r="F47" s="34"/>
      <c r="G47" s="32"/>
      <c r="H47" s="32"/>
      <c r="I47" s="34"/>
      <c r="J47" s="34"/>
      <c r="M47" s="35"/>
      <c r="N47" s="34"/>
      <c r="O47" s="40"/>
      <c r="P47" s="34"/>
      <c r="Q47" s="34"/>
      <c r="R47" s="34"/>
      <c r="S47" s="25"/>
      <c r="T47" s="42"/>
      <c r="U47" s="42"/>
    </row>
    <row r="48" spans="1:23" x14ac:dyDescent="0.35">
      <c r="A48" t="s">
        <v>39</v>
      </c>
      <c r="B48" t="s">
        <v>40</v>
      </c>
      <c r="C48" s="31">
        <f>L9</f>
        <v>16812800</v>
      </c>
      <c r="D48" s="38">
        <f t="shared" ref="D48:D50" si="0">D9</f>
        <v>639</v>
      </c>
      <c r="E48" s="35">
        <f>M9</f>
        <v>2.2164189150000002</v>
      </c>
      <c r="F48" s="34">
        <f>$F$45</f>
        <v>160</v>
      </c>
      <c r="G48" s="40">
        <f>(D48*F48)/H48</f>
        <v>0.21529555324945918</v>
      </c>
      <c r="H48" s="32">
        <f t="shared" ref="H48:H50" si="1">(C48*(E48/100)+(D48*F48))</f>
        <v>474882.07934112003</v>
      </c>
      <c r="I48" s="34">
        <f t="shared" ref="I48:I50" si="2">((H48*1)+(H48*$K$40))+($K$41*(C48/$C$35))</f>
        <v>546114.39124228805</v>
      </c>
      <c r="J48" s="34">
        <f>H48/D48</f>
        <v>743.1644434133334</v>
      </c>
      <c r="L48" s="31">
        <f>C48</f>
        <v>16812800</v>
      </c>
      <c r="M48" s="35">
        <f>((I48-P48)/L48)*100</f>
        <v>2.6400979684662165</v>
      </c>
      <c r="N48" s="34">
        <f>$N$35</f>
        <v>160</v>
      </c>
      <c r="O48" s="40">
        <f>P48/Q48</f>
        <v>0.1872135245647471</v>
      </c>
      <c r="P48" s="41">
        <f>D48*N48</f>
        <v>102240</v>
      </c>
      <c r="Q48" s="34">
        <f>(L48*(M48/100))+P48</f>
        <v>546114.39124228805</v>
      </c>
      <c r="R48" s="34">
        <f>Q48-H48</f>
        <v>71232.311901168025</v>
      </c>
      <c r="S48" s="25">
        <f>ROUND(-(+H48-Q48)/H48,4)</f>
        <v>0.15</v>
      </c>
      <c r="T48" s="42">
        <f>Q48/D48</f>
        <v>854.6391099253334</v>
      </c>
      <c r="U48" s="42">
        <f>T48-J48</f>
        <v>111.474666512</v>
      </c>
      <c r="V48" s="43">
        <f>D48/$D$35</f>
        <v>2.2122208758871387E-2</v>
      </c>
      <c r="W48" s="43">
        <f>Q48/$Q$35</f>
        <v>1.0782588298886588E-2</v>
      </c>
    </row>
    <row r="49" spans="1:23" x14ac:dyDescent="0.35">
      <c r="A49" t="s">
        <v>41</v>
      </c>
      <c r="B49" t="s">
        <v>42</v>
      </c>
      <c r="C49" s="31">
        <f>L10</f>
        <v>79442300</v>
      </c>
      <c r="D49" s="38">
        <f t="shared" si="0"/>
        <v>998</v>
      </c>
      <c r="E49" s="35">
        <f>M10</f>
        <v>0.71817747251733022</v>
      </c>
      <c r="F49" s="34">
        <f t="shared" ref="F49:F50" si="3">$F$45</f>
        <v>160</v>
      </c>
      <c r="G49" s="40">
        <f>(D49*F49)/H49</f>
        <v>0.21867481188537799</v>
      </c>
      <c r="H49" s="32">
        <f t="shared" si="1"/>
        <v>730216.70224963501</v>
      </c>
      <c r="I49" s="34">
        <f t="shared" si="2"/>
        <v>839749.20758708031</v>
      </c>
      <c r="J49" s="34">
        <f>H49/D49</f>
        <v>731.68006237438374</v>
      </c>
      <c r="L49" s="31">
        <f>C49</f>
        <v>79442300</v>
      </c>
      <c r="M49" s="35">
        <f>((I49-P49)/L49)*100</f>
        <v>0.85605427786844079</v>
      </c>
      <c r="N49" s="34">
        <f>$N$35</f>
        <v>160</v>
      </c>
      <c r="O49" s="40">
        <f>P49/Q49</f>
        <v>0.19015201033511128</v>
      </c>
      <c r="P49" s="41">
        <f>D49*N49</f>
        <v>159680</v>
      </c>
      <c r="Q49" s="34">
        <f>(L49*(M49/100))+P49</f>
        <v>839749.20758708031</v>
      </c>
      <c r="R49" s="34">
        <f>Q49-H49</f>
        <v>109532.5053374453</v>
      </c>
      <c r="S49" s="25">
        <f>ROUND(-(+H49-Q49)/H49,4)</f>
        <v>0.15</v>
      </c>
      <c r="T49" s="42">
        <f>Q49/D49</f>
        <v>841.43207173054134</v>
      </c>
      <c r="U49" s="42">
        <f>T49-J49</f>
        <v>109.7520093561576</v>
      </c>
      <c r="V49" s="43">
        <f>D49/$D$35</f>
        <v>3.4550804916046389E-2</v>
      </c>
      <c r="W49" s="43">
        <f>Q49/$Q$35</f>
        <v>1.6580170976872425E-2</v>
      </c>
    </row>
    <row r="50" spans="1:23" x14ac:dyDescent="0.35">
      <c r="A50" t="s">
        <v>43</v>
      </c>
      <c r="B50" t="s">
        <v>44</v>
      </c>
      <c r="C50" s="31">
        <f>L11</f>
        <v>120948700</v>
      </c>
      <c r="D50" s="38">
        <f t="shared" si="0"/>
        <v>916</v>
      </c>
      <c r="E50" s="35">
        <f>M11</f>
        <v>0.34169435813699528</v>
      </c>
      <c r="F50" s="34">
        <f t="shared" si="3"/>
        <v>160</v>
      </c>
      <c r="G50" s="40">
        <f>(D50*F50)/H50</f>
        <v>0.26179147486518312</v>
      </c>
      <c r="H50" s="32">
        <f t="shared" si="1"/>
        <v>559834.88414004003</v>
      </c>
      <c r="I50" s="34">
        <f t="shared" si="2"/>
        <v>643810.116761046</v>
      </c>
      <c r="J50" s="34">
        <f>H50/D50</f>
        <v>611.17345430135379</v>
      </c>
      <c r="L50" s="31">
        <f>C50</f>
        <v>120948700</v>
      </c>
      <c r="M50" s="35">
        <f>((I50-P50)/L50)*100</f>
        <v>0.41112481304970289</v>
      </c>
      <c r="N50" s="34">
        <f>$N$35</f>
        <v>160</v>
      </c>
      <c r="O50" s="40">
        <f>P50/Q50</f>
        <v>0.22764476075233317</v>
      </c>
      <c r="P50" s="41">
        <f>D50*N50</f>
        <v>146560</v>
      </c>
      <c r="Q50" s="34">
        <f>(L50*(M50/100))+P50</f>
        <v>643810.116761046</v>
      </c>
      <c r="R50" s="34">
        <f>Q50-H50</f>
        <v>83975.232621005969</v>
      </c>
      <c r="S50" s="25">
        <f>ROUND(-(+H50-Q50)/H50,4)</f>
        <v>0.15</v>
      </c>
      <c r="T50" s="42">
        <f>Q50/D50</f>
        <v>702.84947244655677</v>
      </c>
      <c r="U50" s="42">
        <f>T50-J50</f>
        <v>91.676018145202988</v>
      </c>
      <c r="V50" s="43">
        <f>D50/$D$35</f>
        <v>3.1711961225549597E-2</v>
      </c>
      <c r="W50" s="43">
        <f>Q50/$Q$35</f>
        <v>1.2711511622869164E-2</v>
      </c>
    </row>
    <row r="51" spans="1:23" x14ac:dyDescent="0.35">
      <c r="C51"/>
      <c r="D51" s="31"/>
      <c r="E51" s="35"/>
      <c r="F51" s="39"/>
      <c r="G51" s="32"/>
      <c r="H51" s="42"/>
      <c r="I51" s="34"/>
      <c r="J51" s="34"/>
      <c r="M51" s="35"/>
      <c r="N51" s="39"/>
      <c r="O51" s="45"/>
      <c r="P51" s="42"/>
      <c r="Q51" s="34"/>
      <c r="R51" s="34"/>
      <c r="S51" s="25"/>
      <c r="T51" s="42"/>
      <c r="U51" s="42"/>
    </row>
    <row r="52" spans="1:23" x14ac:dyDescent="0.35">
      <c r="A52" t="s">
        <v>45</v>
      </c>
      <c r="B52" t="s">
        <v>46</v>
      </c>
      <c r="C52" s="31">
        <f>L13</f>
        <v>35545000</v>
      </c>
      <c r="D52" s="38">
        <f>D13</f>
        <v>412</v>
      </c>
      <c r="E52" s="35">
        <f>M13</f>
        <v>0.6429702155394571</v>
      </c>
      <c r="F52" s="34">
        <f>$F$45</f>
        <v>160</v>
      </c>
      <c r="G52" s="40">
        <f>(D52*F52)/H52</f>
        <v>0.22386455740087574</v>
      </c>
      <c r="H52" s="32">
        <f t="shared" ref="H52:H53" si="4">(C52*(E52/100)+(D52*F52))</f>
        <v>294463.76311350003</v>
      </c>
      <c r="I52" s="34">
        <f t="shared" ref="I52:I53" si="5">((H52*1)+(H52*$K$40))+($K$41*(C52/$C$35))</f>
        <v>338633.32758052502</v>
      </c>
      <c r="J52" s="34">
        <f>H52/D52</f>
        <v>714.71787163470879</v>
      </c>
      <c r="L52" s="31">
        <f>C52</f>
        <v>35545000</v>
      </c>
      <c r="M52" s="35">
        <f>((I52-P52)/L52)*100</f>
        <v>0.76723400641588135</v>
      </c>
      <c r="N52" s="34">
        <f>$N$35</f>
        <v>160</v>
      </c>
      <c r="O52" s="40">
        <f>P52/Q52</f>
        <v>0.19466483252250064</v>
      </c>
      <c r="P52" s="41">
        <f>D52*N52</f>
        <v>65920</v>
      </c>
      <c r="Q52" s="34">
        <f>(L52*(M52/100))+P52</f>
        <v>338633.32758052502</v>
      </c>
      <c r="R52" s="34">
        <f>Q52-H52</f>
        <v>44169.564467024989</v>
      </c>
      <c r="S52" s="25">
        <f>ROUND(-(+H52-Q52)/H52,4)</f>
        <v>0.15</v>
      </c>
      <c r="T52" s="42">
        <f>Q52/D52</f>
        <v>821.92555237991508</v>
      </c>
      <c r="U52" s="42">
        <f>T52-J52</f>
        <v>107.20768074520629</v>
      </c>
      <c r="V52" s="43">
        <f>D52/$D$35</f>
        <v>1.4263458542496105E-2</v>
      </c>
      <c r="W52" s="43">
        <f>Q52/$Q$35</f>
        <v>6.6860419980451493E-3</v>
      </c>
    </row>
    <row r="53" spans="1:23" x14ac:dyDescent="0.35">
      <c r="A53" t="s">
        <v>47</v>
      </c>
      <c r="B53" t="s">
        <v>48</v>
      </c>
      <c r="C53" s="31">
        <f>L14</f>
        <v>775347550</v>
      </c>
      <c r="D53" s="38">
        <f>D14</f>
        <v>2783</v>
      </c>
      <c r="E53" s="35">
        <f>M14</f>
        <v>0.33575887494199363</v>
      </c>
      <c r="F53" s="34">
        <f>$F$45</f>
        <v>160</v>
      </c>
      <c r="G53" s="40">
        <f>(D53*F53)/H53</f>
        <v>0.14606153072500219</v>
      </c>
      <c r="H53" s="32">
        <f t="shared" si="4"/>
        <v>3048578.2107703113</v>
      </c>
      <c r="I53" s="34">
        <f t="shared" si="5"/>
        <v>3505864.9423858579</v>
      </c>
      <c r="J53" s="34">
        <f>H53/D53</f>
        <v>1095.428749827636</v>
      </c>
      <c r="L53" s="31">
        <f>C53</f>
        <v>775347550</v>
      </c>
      <c r="M53" s="35">
        <f>((I53-P53)/L53)*100</f>
        <v>0.39473716559571997</v>
      </c>
      <c r="N53" s="34">
        <f>$N$35</f>
        <v>160</v>
      </c>
      <c r="O53" s="40">
        <f>P53/Q53</f>
        <v>0.1270100267173932</v>
      </c>
      <c r="P53" s="41">
        <f>D53*N53</f>
        <v>445280</v>
      </c>
      <c r="Q53" s="34">
        <f>(L53*(M53/100))+P53</f>
        <v>3505864.9423858579</v>
      </c>
      <c r="R53" s="34">
        <f>Q53-H53</f>
        <v>457286.73161554663</v>
      </c>
      <c r="S53" s="25">
        <f>ROUND(-(+H53-Q53)/H53,4)</f>
        <v>0.15</v>
      </c>
      <c r="T53" s="42">
        <f>Q53/D53</f>
        <v>1259.7430623017815</v>
      </c>
      <c r="U53" s="42">
        <f>T53-J53</f>
        <v>164.31431247414548</v>
      </c>
      <c r="V53" s="43">
        <f>D53/$D$35</f>
        <v>9.6347585251860823E-2</v>
      </c>
      <c r="W53" s="43">
        <f>Q53/$Q$35</f>
        <v>6.922047635341505E-2</v>
      </c>
    </row>
    <row r="54" spans="1:23" s="44" customFormat="1" x14ac:dyDescent="0.35">
      <c r="A54" s="44" t="s">
        <v>49</v>
      </c>
      <c r="C54" s="46">
        <f>SUM(C45:C53)</f>
        <v>4465438251</v>
      </c>
      <c r="D54" s="47">
        <f>SUM(D45:D53)</f>
        <v>24073</v>
      </c>
      <c r="E54" s="35"/>
      <c r="F54" s="48"/>
      <c r="G54" s="24"/>
      <c r="H54" s="49">
        <f>SUM(H45:H53)</f>
        <v>34154260.09817104</v>
      </c>
      <c r="I54" s="49">
        <f>SUM(I45:I53)</f>
        <v>39277399.112896688</v>
      </c>
      <c r="J54" s="48"/>
      <c r="L54" s="46">
        <f>SUM(L45:L53)</f>
        <v>4465438251</v>
      </c>
      <c r="M54" s="35"/>
      <c r="N54" s="34"/>
      <c r="O54" s="24"/>
      <c r="P54" s="49">
        <f>SUM(P45:P53)</f>
        <v>3851680</v>
      </c>
      <c r="Q54" s="49">
        <f>SUM(Q45:Q53)</f>
        <v>39277399.112896688</v>
      </c>
      <c r="R54" s="49">
        <f>SUM(R45:R53)</f>
        <v>5123139.0147256535</v>
      </c>
      <c r="S54" s="50"/>
      <c r="T54" s="50"/>
      <c r="U54" s="50"/>
    </row>
    <row r="55" spans="1:23" x14ac:dyDescent="0.35">
      <c r="C55"/>
      <c r="D55" s="31"/>
      <c r="E55" s="35"/>
      <c r="F55" s="34"/>
      <c r="G55" s="32"/>
      <c r="H55" s="32"/>
      <c r="I55" s="34"/>
      <c r="J55" s="34"/>
      <c r="M55" s="35"/>
      <c r="N55" s="34"/>
      <c r="O55" s="34"/>
      <c r="P55" s="34"/>
      <c r="Q55" s="34"/>
      <c r="R55" s="34"/>
      <c r="S55" s="25"/>
      <c r="T55" s="25"/>
      <c r="U55" s="25"/>
    </row>
    <row r="56" spans="1:23" ht="18" x14ac:dyDescent="0.4">
      <c r="A56" s="33" t="s">
        <v>50</v>
      </c>
      <c r="C56" s="51"/>
      <c r="D56" s="31"/>
      <c r="E56" s="35"/>
      <c r="F56"/>
      <c r="G56" s="32"/>
      <c r="H56" s="32"/>
      <c r="I56" s="37"/>
      <c r="K56" s="25">
        <f>K40</f>
        <v>0.15</v>
      </c>
      <c r="L56" s="51"/>
      <c r="M56" s="35"/>
    </row>
    <row r="57" spans="1:23" x14ac:dyDescent="0.35">
      <c r="A57" t="s">
        <v>51</v>
      </c>
      <c r="B57" t="s">
        <v>52</v>
      </c>
      <c r="C57" s="31">
        <f>L18</f>
        <v>687672932</v>
      </c>
      <c r="D57" s="38">
        <f>D18</f>
        <v>1493</v>
      </c>
      <c r="E57" s="35">
        <f>M18</f>
        <v>1.1851554071492365</v>
      </c>
      <c r="F57" s="34">
        <f>$F$45</f>
        <v>160</v>
      </c>
      <c r="G57" s="40">
        <f>(D57*F57)/H57</f>
        <v>2.8475815737243559E-2</v>
      </c>
      <c r="H57" s="32">
        <f>(C57*(E57/100)+(D57*F57))</f>
        <v>8388872.9370996915</v>
      </c>
      <c r="I57" s="34">
        <f>((H57*1)+(H57*$K$40))+($K$41*(C57/$C$35))</f>
        <v>9647203.8776646443</v>
      </c>
      <c r="J57" s="34">
        <f>H57/D57</f>
        <v>5618.8030389147298</v>
      </c>
      <c r="L57" s="31">
        <f>C57</f>
        <v>687672932</v>
      </c>
      <c r="M57" s="35">
        <f>((I57-P57)/L57)*100</f>
        <v>1.3681393348291109</v>
      </c>
      <c r="N57" s="34">
        <f>$N$35</f>
        <v>160</v>
      </c>
      <c r="O57" s="40">
        <f>P57/Q57</f>
        <v>2.4761578901950923E-2</v>
      </c>
      <c r="P57" s="41">
        <f>D57*N57</f>
        <v>238880</v>
      </c>
      <c r="Q57" s="34">
        <f>(L57*(M57/100))+P57</f>
        <v>9647203.8776646443</v>
      </c>
      <c r="R57" s="34">
        <f>Q57-H57</f>
        <v>1258330.9405649528</v>
      </c>
      <c r="S57" s="25">
        <f>ROUND(-(+H57-Q57)/H57,4)</f>
        <v>0.15</v>
      </c>
      <c r="T57" s="42">
        <f>Q57/D57</f>
        <v>6461.6234947519388</v>
      </c>
      <c r="U57" s="34">
        <f>T57-J57</f>
        <v>842.82045583720901</v>
      </c>
      <c r="V57" s="43">
        <f>D57/$D$35</f>
        <v>5.1687727194045352E-2</v>
      </c>
      <c r="W57" s="43">
        <f>Q57/$Q$35</f>
        <v>0.19047626159723374</v>
      </c>
    </row>
    <row r="58" spans="1:23" x14ac:dyDescent="0.35">
      <c r="C58"/>
      <c r="D58" s="31"/>
      <c r="E58" s="35"/>
      <c r="F58" s="34"/>
      <c r="G58" s="45"/>
      <c r="H58" s="32"/>
      <c r="I58" s="34"/>
      <c r="J58" s="34"/>
      <c r="M58" s="35"/>
      <c r="N58" s="34"/>
      <c r="O58" s="34"/>
      <c r="P58" s="34"/>
      <c r="Q58" s="34"/>
      <c r="R58" s="34"/>
      <c r="S58" s="25"/>
      <c r="T58" s="42"/>
      <c r="U58" s="34"/>
    </row>
    <row r="59" spans="1:23" x14ac:dyDescent="0.35">
      <c r="A59" s="44" t="s">
        <v>38</v>
      </c>
      <c r="C59"/>
      <c r="D59" s="31"/>
      <c r="E59" s="35"/>
      <c r="F59" s="34"/>
      <c r="G59" s="45"/>
      <c r="H59" s="32"/>
      <c r="I59" s="34"/>
      <c r="J59" s="34"/>
      <c r="M59" s="35"/>
      <c r="N59" s="34"/>
      <c r="O59" s="34"/>
      <c r="P59" s="34"/>
      <c r="Q59" s="34"/>
      <c r="R59" s="34"/>
      <c r="S59" s="25"/>
      <c r="T59" s="42"/>
      <c r="U59" s="34"/>
    </row>
    <row r="60" spans="1:23" x14ac:dyDescent="0.35">
      <c r="A60" t="s">
        <v>53</v>
      </c>
      <c r="B60" t="s">
        <v>54</v>
      </c>
      <c r="C60" s="31">
        <f>L21</f>
        <v>2399170</v>
      </c>
      <c r="D60" s="38">
        <f>D21</f>
        <v>72</v>
      </c>
      <c r="E60" s="35">
        <f>M21</f>
        <v>3.471788865624216</v>
      </c>
      <c r="F60" s="34">
        <f>$F$45</f>
        <v>160</v>
      </c>
      <c r="G60" s="40">
        <f>(D60*F60)/H60</f>
        <v>0.12150089431114346</v>
      </c>
      <c r="H60" s="32">
        <f t="shared" ref="H60:H62" si="6">(C60*(E60/100)+(D60*F60))</f>
        <v>94814.116927396506</v>
      </c>
      <c r="I60" s="34">
        <f t="shared" ref="I60:I62" si="7">((H60*1)+(H60*$K$40))+($K$41*(C60/$C$35))</f>
        <v>109036.23446650598</v>
      </c>
      <c r="J60" s="34">
        <f>H60/D60</f>
        <v>1316.8627351027292</v>
      </c>
      <c r="L60" s="31">
        <f>C60</f>
        <v>2399170</v>
      </c>
      <c r="M60" s="35">
        <f>((I60-P60)/L60)*100</f>
        <v>4.0645821040820778</v>
      </c>
      <c r="N60" s="34">
        <f>$N$35</f>
        <v>160</v>
      </c>
      <c r="O60" s="40">
        <f>P60/Q60</f>
        <v>0.10565295157490735</v>
      </c>
      <c r="P60" s="41">
        <f>D60*N60</f>
        <v>11520</v>
      </c>
      <c r="Q60" s="34">
        <f>(L60*(M60/100))+P60</f>
        <v>109036.23446650598</v>
      </c>
      <c r="R60" s="34">
        <f>Q60-H60</f>
        <v>14222.117539109473</v>
      </c>
      <c r="S60" s="25">
        <f>ROUND(-(+H60-Q60)/H60,4)</f>
        <v>0.15</v>
      </c>
      <c r="T60" s="42">
        <f>Q60/D60</f>
        <v>1514.3921453681387</v>
      </c>
      <c r="U60" s="34">
        <f>T60-J60</f>
        <v>197.52941026540952</v>
      </c>
      <c r="V60" s="43">
        <f>D60/$D$35</f>
        <v>2.4926432404362127E-3</v>
      </c>
      <c r="W60" s="43">
        <f>Q60/$Q$35</f>
        <v>2.1528325288018208E-3</v>
      </c>
    </row>
    <row r="61" spans="1:23" x14ac:dyDescent="0.35">
      <c r="A61" t="s">
        <v>55</v>
      </c>
      <c r="B61" t="s">
        <v>56</v>
      </c>
      <c r="C61" s="31">
        <f>L22</f>
        <v>6128530</v>
      </c>
      <c r="D61" s="38">
        <f>D22</f>
        <v>80</v>
      </c>
      <c r="E61" s="35">
        <f>M22</f>
        <v>2.2736473108344333</v>
      </c>
      <c r="F61" s="34">
        <f>$F$45</f>
        <v>160</v>
      </c>
      <c r="G61" s="40">
        <f>(D61*F61)/H61</f>
        <v>8.4132395251072231E-2</v>
      </c>
      <c r="H61" s="32">
        <f t="shared" si="6"/>
        <v>152141.15753868149</v>
      </c>
      <c r="I61" s="34">
        <f t="shared" si="7"/>
        <v>174962.33116948372</v>
      </c>
      <c r="J61" s="34">
        <f>H61/D61</f>
        <v>1901.7644692335186</v>
      </c>
      <c r="L61" s="31">
        <f>C61</f>
        <v>6128530</v>
      </c>
      <c r="M61" s="35">
        <f>((I61-P61)/L61)*100</f>
        <v>2.6460232905685985</v>
      </c>
      <c r="N61" s="34">
        <f>$N$35</f>
        <v>160</v>
      </c>
      <c r="O61" s="40">
        <f>P61/Q61</f>
        <v>7.3158604566149768E-2</v>
      </c>
      <c r="P61" s="41">
        <f>D61*N61</f>
        <v>12800</v>
      </c>
      <c r="Q61" s="34">
        <f>(L61*(M61/100))+P61</f>
        <v>174962.33116948372</v>
      </c>
      <c r="R61" s="34">
        <f>Q61-H61</f>
        <v>22821.173630802223</v>
      </c>
      <c r="S61" s="25">
        <f>ROUND(-(+H61-Q61)/H61,4)</f>
        <v>0.15</v>
      </c>
      <c r="T61" s="42">
        <f>Q61/D61</f>
        <v>2187.0291396185467</v>
      </c>
      <c r="U61" s="34">
        <f>T61-J61</f>
        <v>285.26467038502801</v>
      </c>
      <c r="V61" s="43">
        <f>D61/$D$35</f>
        <v>2.7696036004846805E-3</v>
      </c>
      <c r="W61" s="43">
        <f>Q61/$Q$35</f>
        <v>3.4544901490739396E-3</v>
      </c>
    </row>
    <row r="62" spans="1:23" x14ac:dyDescent="0.35">
      <c r="A62" t="s">
        <v>57</v>
      </c>
      <c r="B62" t="s">
        <v>58</v>
      </c>
      <c r="C62" s="31">
        <f>L23</f>
        <v>5935500</v>
      </c>
      <c r="D62" s="38">
        <f>D23</f>
        <v>32</v>
      </c>
      <c r="E62" s="35">
        <f>M23</f>
        <v>0.50233791250484361</v>
      </c>
      <c r="F62" s="34">
        <f>$F$45</f>
        <v>160</v>
      </c>
      <c r="G62" s="40">
        <f>(D62*F62)/H62</f>
        <v>0.14655257900881274</v>
      </c>
      <c r="H62" s="32">
        <f t="shared" si="6"/>
        <v>34936.266796724987</v>
      </c>
      <c r="I62" s="34">
        <f t="shared" si="7"/>
        <v>40176.706816233738</v>
      </c>
      <c r="J62" s="34">
        <f>H62/D62</f>
        <v>1091.7583373976559</v>
      </c>
      <c r="L62" s="31">
        <f>C62</f>
        <v>5935500</v>
      </c>
      <c r="M62" s="35">
        <f>((I62-P62)/L62)*100</f>
        <v>0.59062769465476772</v>
      </c>
      <c r="N62" s="34">
        <f>$N$35</f>
        <v>160</v>
      </c>
      <c r="O62" s="40">
        <f>P62/Q62</f>
        <v>0.12743702522505454</v>
      </c>
      <c r="P62" s="41">
        <f>D62*N62</f>
        <v>5120</v>
      </c>
      <c r="Q62" s="34">
        <f>(L62*(M62/100))+P62</f>
        <v>40176.706816233738</v>
      </c>
      <c r="R62" s="34">
        <f>Q62-H62</f>
        <v>5240.440019508751</v>
      </c>
      <c r="S62" s="25">
        <f>ROUND(-(+H62-Q62)/H62,4)</f>
        <v>0.15</v>
      </c>
      <c r="T62" s="42">
        <f>Q62/D62</f>
        <v>1255.5220880073043</v>
      </c>
      <c r="U62" s="34">
        <f>T62-J62</f>
        <v>163.76375060964847</v>
      </c>
      <c r="V62" s="43">
        <f>D62/$D$35</f>
        <v>1.1078414401938723E-3</v>
      </c>
      <c r="W62" s="43">
        <f>Q62/$Q$35</f>
        <v>7.9325667983051252E-4</v>
      </c>
    </row>
    <row r="63" spans="1:23" x14ac:dyDescent="0.35">
      <c r="C63"/>
      <c r="D63" s="31"/>
      <c r="E63" s="35"/>
      <c r="F63" s="34"/>
      <c r="G63" s="45"/>
      <c r="H63" s="32"/>
      <c r="I63" s="34"/>
      <c r="J63" s="34"/>
      <c r="M63" s="35"/>
      <c r="N63" s="34"/>
      <c r="O63" s="40"/>
      <c r="P63" s="34"/>
      <c r="Q63" s="34"/>
      <c r="R63" s="34"/>
      <c r="S63" s="25"/>
      <c r="T63" s="42"/>
      <c r="U63" s="34"/>
    </row>
    <row r="64" spans="1:23" x14ac:dyDescent="0.35">
      <c r="A64" t="s">
        <v>59</v>
      </c>
      <c r="B64" t="s">
        <v>60</v>
      </c>
      <c r="C64" s="31">
        <f>L25</f>
        <v>2891650</v>
      </c>
      <c r="D64" s="38">
        <f>D25</f>
        <v>37</v>
      </c>
      <c r="E64" s="35">
        <f>M25</f>
        <v>0.74569284488224707</v>
      </c>
      <c r="F64" s="34">
        <f>$F$45</f>
        <v>160</v>
      </c>
      <c r="G64" s="40">
        <f>(D64*F64)/H64</f>
        <v>0.21540724205323725</v>
      </c>
      <c r="H64" s="32">
        <f t="shared" ref="H64:H65" si="8">(C64*(E64/100)+(D64*F64))</f>
        <v>27482.827149037497</v>
      </c>
      <c r="I64" s="34">
        <f t="shared" ref="I64:I65" si="9">((H64*1)+(H64*$K$40))+($K$41*(C64/$C$35))</f>
        <v>31605.251221393122</v>
      </c>
      <c r="J64" s="34">
        <f>H64/D64</f>
        <v>742.77911213614857</v>
      </c>
      <c r="L64" s="31">
        <f>C64</f>
        <v>2891650</v>
      </c>
      <c r="M64" s="35">
        <f>((I64-P64)/L64)*100</f>
        <v>0.8882558823299197</v>
      </c>
      <c r="N64" s="34">
        <f>$N$35</f>
        <v>160</v>
      </c>
      <c r="O64" s="40">
        <f>P64/Q64</f>
        <v>0.18731064526368454</v>
      </c>
      <c r="P64" s="41">
        <f>D64*N64</f>
        <v>5920</v>
      </c>
      <c r="Q64" s="34">
        <f>(L64*(M64/100))+P64</f>
        <v>31605.251221393122</v>
      </c>
      <c r="R64" s="34">
        <f>Q64-H64</f>
        <v>4122.424072355625</v>
      </c>
      <c r="S64" s="25">
        <f>ROUND(-(+H64-Q64)/H64,4)</f>
        <v>0.15</v>
      </c>
      <c r="T64" s="42">
        <f>Q64/D64</f>
        <v>854.19597895657091</v>
      </c>
      <c r="U64" s="34">
        <f>T64-J64</f>
        <v>111.41686682042234</v>
      </c>
      <c r="V64" s="43">
        <f>D64/$D$35</f>
        <v>1.2809416652241649E-3</v>
      </c>
      <c r="W64" s="43">
        <f>Q64/$Q$35</f>
        <v>6.2402020065421035E-4</v>
      </c>
    </row>
    <row r="65" spans="1:23" x14ac:dyDescent="0.35">
      <c r="A65" t="s">
        <v>61</v>
      </c>
      <c r="B65" t="s">
        <v>62</v>
      </c>
      <c r="C65" s="31">
        <f>L26</f>
        <v>4951520</v>
      </c>
      <c r="D65" s="38">
        <f>D26</f>
        <v>64</v>
      </c>
      <c r="E65" s="35">
        <f>M26</f>
        <v>0.88311300386515645</v>
      </c>
      <c r="F65" s="34">
        <f>$F$45</f>
        <v>160</v>
      </c>
      <c r="G65" s="40">
        <f>(D65*F65)/H65</f>
        <v>0.18974376750176117</v>
      </c>
      <c r="H65" s="32">
        <f t="shared" si="8"/>
        <v>53967.517008983996</v>
      </c>
      <c r="I65" s="34">
        <f t="shared" si="9"/>
        <v>62062.644560331595</v>
      </c>
      <c r="J65" s="34">
        <f>H65/D65</f>
        <v>843.24245326537493</v>
      </c>
      <c r="L65" s="31">
        <f>C65</f>
        <v>4951520</v>
      </c>
      <c r="M65" s="35">
        <f>((I65-P65)/L65)*100</f>
        <v>1.0466007319031649</v>
      </c>
      <c r="N65" s="34">
        <f>$N$35</f>
        <v>160</v>
      </c>
      <c r="O65" s="40">
        <f>P65/Q65</f>
        <v>0.16499458043631404</v>
      </c>
      <c r="P65" s="41">
        <f>D65*N65</f>
        <v>10240</v>
      </c>
      <c r="Q65" s="34">
        <f>(L65*(M65/100))+P65</f>
        <v>62062.644560331595</v>
      </c>
      <c r="R65" s="34">
        <f>Q65-H65</f>
        <v>8095.1275513475994</v>
      </c>
      <c r="S65" s="25">
        <f>ROUND(-(+H65-Q65)/H65,4)</f>
        <v>0.15</v>
      </c>
      <c r="T65" s="42">
        <f>Q65/D65</f>
        <v>969.72882125518117</v>
      </c>
      <c r="U65" s="34">
        <f>T65-J65</f>
        <v>126.48636798980624</v>
      </c>
      <c r="V65" s="43">
        <f>D65/$D$35</f>
        <v>2.2156828803877445E-3</v>
      </c>
      <c r="W65" s="43">
        <f>Q65/$Q$35</f>
        <v>1.2253768729879426E-3</v>
      </c>
    </row>
    <row r="66" spans="1:23" s="44" customFormat="1" x14ac:dyDescent="0.35">
      <c r="A66" s="44" t="s">
        <v>63</v>
      </c>
      <c r="C66" s="46">
        <f>SUM(C57:C65)</f>
        <v>709979302</v>
      </c>
      <c r="D66" s="47">
        <f>SUM(D57:D65)</f>
        <v>1778</v>
      </c>
      <c r="E66" s="35"/>
      <c r="F66" s="48"/>
      <c r="G66" s="52"/>
      <c r="H66" s="49">
        <f>SUM(H57:H65)</f>
        <v>8752214.8225205168</v>
      </c>
      <c r="I66" s="49">
        <f>SUM(I57:I65)</f>
        <v>10065047.045898592</v>
      </c>
      <c r="J66" s="48"/>
      <c r="K66"/>
      <c r="L66" s="46">
        <f>SUM(L57:L65)</f>
        <v>709979302</v>
      </c>
      <c r="M66" s="35"/>
      <c r="N66" s="48"/>
      <c r="O66" s="24"/>
      <c r="P66" s="49">
        <f>SUM(P57:P65)</f>
        <v>284480</v>
      </c>
      <c r="Q66" s="49">
        <f>SUM(Q57:Q65)</f>
        <v>10065047.045898592</v>
      </c>
      <c r="R66" s="49">
        <f>SUM(R57:R65)</f>
        <v>1312832.2233780767</v>
      </c>
      <c r="S66" s="50"/>
    </row>
    <row r="67" spans="1:23" x14ac:dyDescent="0.35">
      <c r="C67"/>
      <c r="D67" s="31"/>
      <c r="E67" s="35"/>
      <c r="F67" s="34"/>
      <c r="G67" s="45"/>
      <c r="H67" s="32"/>
      <c r="I67" s="34"/>
      <c r="J67" s="34"/>
      <c r="M67" s="35"/>
      <c r="N67" s="34"/>
      <c r="O67" s="34"/>
      <c r="P67" s="34"/>
      <c r="Q67" s="34"/>
      <c r="R67" s="34"/>
      <c r="S67" s="25"/>
    </row>
    <row r="68" spans="1:23" ht="15.5" x14ac:dyDescent="0.35">
      <c r="A68" s="33" t="s">
        <v>1</v>
      </c>
      <c r="C68"/>
      <c r="D68" s="31"/>
      <c r="E68" s="35"/>
      <c r="F68" s="34"/>
      <c r="G68" s="45"/>
      <c r="H68" s="32"/>
      <c r="I68" s="34"/>
      <c r="J68" s="34"/>
      <c r="M68" s="35"/>
      <c r="N68" s="34"/>
      <c r="O68" s="34"/>
      <c r="P68" s="34"/>
      <c r="Q68" s="34"/>
      <c r="R68" s="34"/>
      <c r="S68" s="25"/>
    </row>
    <row r="69" spans="1:23" s="54" customFormat="1" x14ac:dyDescent="0.35">
      <c r="A69" s="53" t="s">
        <v>64</v>
      </c>
      <c r="B69" s="54" t="s">
        <v>65</v>
      </c>
      <c r="C69" s="31">
        <f>L30</f>
        <v>4230476440</v>
      </c>
      <c r="D69" s="38">
        <f>D30</f>
        <v>3032</v>
      </c>
      <c r="E69" s="35">
        <f>M30</f>
        <v>0.17095787426928896</v>
      </c>
      <c r="F69" s="34">
        <f>$F$45</f>
        <v>160</v>
      </c>
      <c r="G69" s="55">
        <f>(D69*F69)/H69</f>
        <v>6.2860120504267716E-2</v>
      </c>
      <c r="H69" s="32">
        <f>(C69*(E69/100)+(D69*F69))</f>
        <v>7717452.5932870917</v>
      </c>
      <c r="I69" s="34">
        <f>((H69*1)+(H69*$K$40))+($K$41*(C69/$C$35))</f>
        <v>8875070.4822801556</v>
      </c>
      <c r="J69" s="34">
        <f>H69/D69</f>
        <v>2545.3339687622333</v>
      </c>
      <c r="K69"/>
      <c r="L69" s="31">
        <f>C69</f>
        <v>4230476440</v>
      </c>
      <c r="M69" s="35">
        <f>((I69-P69)/L69)*100</f>
        <v>0.19832164535775443</v>
      </c>
      <c r="N69" s="34">
        <f>$N$35</f>
        <v>160</v>
      </c>
      <c r="O69" s="55">
        <f>P69/Q69</f>
        <v>5.4660974351537148E-2</v>
      </c>
      <c r="P69" s="41">
        <f>D69*N69</f>
        <v>485120</v>
      </c>
      <c r="Q69" s="34">
        <f>(L69*(M69/100))+P69</f>
        <v>8875070.4822801556</v>
      </c>
      <c r="R69" s="56">
        <f>Q69-H69</f>
        <v>1157617.8889930639</v>
      </c>
      <c r="S69" s="25">
        <f>ROUND(-(+H69-Q69)/H69,4)</f>
        <v>0.15</v>
      </c>
      <c r="T69" s="42">
        <f>Q69/D69</f>
        <v>2927.1340640765684</v>
      </c>
      <c r="U69" s="56">
        <f>T69-J69</f>
        <v>381.80009531433507</v>
      </c>
      <c r="V69" s="43">
        <f>D69/$D$35</f>
        <v>0.1049679764583694</v>
      </c>
      <c r="W69" s="43">
        <f>Q69/$Q$35</f>
        <v>0.17523111031068098</v>
      </c>
    </row>
    <row r="70" spans="1:23" x14ac:dyDescent="0.35">
      <c r="C70" s="57"/>
      <c r="D70" s="31"/>
      <c r="E70" s="35"/>
      <c r="F70" s="25"/>
      <c r="G70" s="40"/>
      <c r="H70" s="32"/>
      <c r="I70" s="34"/>
      <c r="J70" s="34"/>
      <c r="L70" s="57"/>
      <c r="M70" s="35"/>
      <c r="N70" s="25"/>
      <c r="O70" s="39"/>
      <c r="P70" s="32"/>
      <c r="Q70" s="34"/>
      <c r="R70" s="25"/>
      <c r="S70" s="34"/>
      <c r="T70" s="34"/>
    </row>
    <row r="71" spans="1:23" ht="15.5" x14ac:dyDescent="0.35">
      <c r="A71" s="33" t="s">
        <v>66</v>
      </c>
      <c r="C71"/>
      <c r="D71" s="31"/>
      <c r="E71" s="35"/>
      <c r="F71"/>
      <c r="G71" s="32"/>
      <c r="H71" s="32"/>
      <c r="M71" s="35"/>
    </row>
    <row r="72" spans="1:23" x14ac:dyDescent="0.35">
      <c r="A72" t="s">
        <v>66</v>
      </c>
      <c r="B72" t="s">
        <v>67</v>
      </c>
      <c r="C72" s="31">
        <f>L33</f>
        <v>968930</v>
      </c>
      <c r="D72" s="38">
        <f>D33</f>
        <v>2</v>
      </c>
      <c r="E72" s="35">
        <f>M33</f>
        <v>2.4309220074956395</v>
      </c>
      <c r="F72" s="34">
        <f>$F$45</f>
        <v>160</v>
      </c>
      <c r="G72" s="45">
        <f>(D72*F72)/H72</f>
        <v>1.3403740609669161E-2</v>
      </c>
      <c r="H72" s="32">
        <f>(C72*(E72/100)+(D72*F72))</f>
        <v>23873.9326072275</v>
      </c>
      <c r="I72" s="34">
        <f>((H72*1)+(H72*$K$40))+($K$41*(C72/$C$35))</f>
        <v>27455.022498311624</v>
      </c>
      <c r="J72" s="34"/>
      <c r="L72" s="31">
        <f>C72</f>
        <v>968930</v>
      </c>
      <c r="M72" s="35">
        <f>((I72-P72)/L72)*100</f>
        <v>2.800514226859693</v>
      </c>
      <c r="N72" s="34">
        <f>$N$35</f>
        <v>160</v>
      </c>
      <c r="O72" s="40">
        <f>P72/Q72</f>
        <v>1.1655426617103618E-2</v>
      </c>
      <c r="P72" s="41">
        <f>D72*N72</f>
        <v>320</v>
      </c>
      <c r="Q72" s="34">
        <f>(L72*(M72/100))+P72</f>
        <v>27455.022498311624</v>
      </c>
      <c r="R72" s="34">
        <f>Q72-H72</f>
        <v>3581.0898910841242</v>
      </c>
      <c r="S72" s="25">
        <f>ROUND(-(+H72-Q72)/H72,4)</f>
        <v>0.15</v>
      </c>
      <c r="T72" s="42">
        <f>Q72/D72</f>
        <v>13727.511249155812</v>
      </c>
      <c r="U72" s="34">
        <f>T72-J72</f>
        <v>13727.511249155812</v>
      </c>
      <c r="V72" s="43">
        <f>D72/$D$35</f>
        <v>6.9240090012117017E-5</v>
      </c>
      <c r="W72" s="43">
        <f>Q72/$Q$35</f>
        <v>5.4207728102998137E-4</v>
      </c>
    </row>
    <row r="73" spans="1:23" x14ac:dyDescent="0.35">
      <c r="C73" s="31"/>
      <c r="D73" s="31"/>
      <c r="E73" s="58"/>
      <c r="F73" s="32"/>
      <c r="G73" s="45"/>
      <c r="H73" s="32"/>
      <c r="I73" s="34"/>
      <c r="J73" s="34"/>
      <c r="M73" s="35"/>
      <c r="N73" s="34"/>
      <c r="O73" s="40"/>
      <c r="P73" s="34"/>
      <c r="Q73" s="34"/>
      <c r="R73" s="34"/>
      <c r="S73" s="25"/>
      <c r="T73" s="42"/>
      <c r="U73" s="34"/>
    </row>
    <row r="74" spans="1:23" s="44" customFormat="1" ht="13" x14ac:dyDescent="0.3">
      <c r="A74" s="44" t="s">
        <v>68</v>
      </c>
      <c r="B74" s="59"/>
      <c r="C74" s="60">
        <f>C54+C66+C69+C72</f>
        <v>9406862923</v>
      </c>
      <c r="D74" s="61">
        <f>D54+D66+D69+D72</f>
        <v>28885</v>
      </c>
      <c r="E74" s="62"/>
      <c r="F74" s="49"/>
      <c r="G74" s="52"/>
      <c r="H74" s="49">
        <f>H54+H66+H69+H72</f>
        <v>50647801.446585871</v>
      </c>
      <c r="I74" s="49">
        <f>I54+I66+I69+I72</f>
        <v>58244971.663573749</v>
      </c>
      <c r="L74" s="60">
        <f>L54+L66+L69+L72</f>
        <v>9406862923</v>
      </c>
      <c r="N74" s="48">
        <v>160</v>
      </c>
      <c r="P74" s="49">
        <f>P54+P66+P69+P72</f>
        <v>4621600</v>
      </c>
      <c r="Q74" s="49">
        <f>Q54+Q66+Q69+Q72</f>
        <v>58244971.663573749</v>
      </c>
      <c r="R74" s="49">
        <f>R54+R66+R69+R72</f>
        <v>7597170.216987879</v>
      </c>
      <c r="S74" s="50">
        <f>ROUND(-(+H74-Q74)/H74,4)</f>
        <v>0.15</v>
      </c>
    </row>
    <row r="75" spans="1:23" x14ac:dyDescent="0.35">
      <c r="A75" s="63"/>
      <c r="B75" s="63"/>
      <c r="C75" s="64"/>
      <c r="D75" s="61"/>
      <c r="E75" s="58"/>
      <c r="F75" s="49"/>
      <c r="G75" s="52"/>
      <c r="H75" s="65"/>
      <c r="I75" s="65"/>
      <c r="R75" s="34"/>
      <c r="S75" s="34"/>
      <c r="T75" s="25"/>
    </row>
  </sheetData>
  <sheetProtection algorithmName="SHA-512" hashValue="D7bFUG+EkUJ5kuHXI+Ehj9uKLx954cRLV1ob3RcGibNH4oFLndyIEsGIEmFihZSRqms8TsRyeVkpKmqoqk33XQ==" saltValue="gVmRcK5Sn/W+sn2b9uLKLQ==" spinCount="100000" sheet="1" objects="1" scenarios="1"/>
  <mergeCells count="4">
    <mergeCell ref="D1:H1"/>
    <mergeCell ref="L1:W1"/>
    <mergeCell ref="D40:J40"/>
    <mergeCell ref="L40:W4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Rates Calculator</vt:lpstr>
      <vt:lpstr>Working Paper</vt:lpstr>
    </vt:vector>
  </TitlesOfParts>
  <Company>Tamworth Regional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ricks</dc:creator>
  <cp:lastModifiedBy>Millsteed, Seon</cp:lastModifiedBy>
  <dcterms:created xsi:type="dcterms:W3CDTF">2011-11-17T22:12:44Z</dcterms:created>
  <dcterms:modified xsi:type="dcterms:W3CDTF">2023-09-20T03:09:05Z</dcterms:modified>
</cp:coreProperties>
</file>